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Jobs\Lightfish\Resources\"/>
    </mc:Choice>
  </mc:AlternateContent>
  <xr:revisionPtr revIDLastSave="0" documentId="8_{1ECA4B1E-46DB-4AB8-B1F3-0EAC916A9338}" xr6:coauthVersionLast="47" xr6:coauthVersionMax="47" xr10:uidLastSave="{00000000-0000-0000-0000-000000000000}"/>
  <bookViews>
    <workbookView xWindow="-90" yWindow="-90" windowWidth="19380" windowHeight="10260" tabRatio="924" xr2:uid="{00000000-000D-0000-FFFF-FFFF00000000}"/>
  </bookViews>
  <sheets>
    <sheet name="Cover" sheetId="14" r:id="rId1"/>
    <sheet name="Highlights" sheetId="13" r:id="rId2"/>
    <sheet name="Annual---&gt;" sheetId="9" r:id="rId3"/>
    <sheet name="P&amp;L-A" sheetId="10" r:id="rId4"/>
    <sheet name="BS-A" sheetId="11" r:id="rId5"/>
    <sheet name="CFS-A" sheetId="12" r:id="rId6"/>
    <sheet name="Quarterly---&gt;" sheetId="4" r:id="rId7"/>
    <sheet name="P&amp;L-Q" sheetId="1" r:id="rId8"/>
    <sheet name="BS-Q" sheetId="2" r:id="rId9"/>
    <sheet name="CFS-Q" sheetId="3" r:id="rId10"/>
    <sheet name="Operating sheets---&gt;" sheetId="5" r:id="rId11"/>
    <sheet name="Operational" sheetId="7" r:id="rId12"/>
    <sheet name="Marketing" sheetId="6" r:id="rId13"/>
    <sheet name="Staff costs" sheetId="8" r:id="rId14"/>
    <sheet name="Extra services" sheetId="18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B25" i="13"/>
  <c r="B24" i="13"/>
  <c r="H73" i="8"/>
  <c r="I73" i="8" s="1"/>
  <c r="J73" i="8" s="1"/>
  <c r="K73" i="8" s="1"/>
  <c r="L73" i="8" s="1"/>
  <c r="M73" i="8" s="1"/>
  <c r="N73" i="8" s="1"/>
  <c r="O73" i="8" s="1"/>
  <c r="P73" i="8" s="1"/>
  <c r="Q73" i="8" s="1"/>
  <c r="R73" i="8" s="1"/>
  <c r="S73" i="8" s="1"/>
  <c r="T73" i="8" s="1"/>
  <c r="U73" i="8" s="1"/>
  <c r="V73" i="8" s="1"/>
  <c r="W73" i="8" s="1"/>
  <c r="X73" i="8" s="1"/>
  <c r="Y73" i="8" s="1"/>
  <c r="J10" i="6"/>
  <c r="F76" i="8"/>
  <c r="G19" i="6"/>
  <c r="G20" i="6" s="1"/>
  <c r="H20" i="6" s="1"/>
  <c r="I20" i="6" s="1"/>
  <c r="J20" i="6" s="1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Y20" i="6" s="1"/>
  <c r="H29" i="8"/>
  <c r="H28" i="8" s="1"/>
  <c r="G30" i="8" s="1"/>
  <c r="F34" i="8" s="1"/>
  <c r="G34" i="8" s="1"/>
  <c r="H34" i="8" s="1"/>
  <c r="S49" i="2"/>
  <c r="T49" i="2" s="1"/>
  <c r="U49" i="2" s="1"/>
  <c r="V49" i="2" s="1"/>
  <c r="W49" i="2" s="1"/>
  <c r="X49" i="2" s="1"/>
  <c r="Y49" i="2" s="1"/>
  <c r="Z49" i="2" s="1"/>
  <c r="AA49" i="2" s="1"/>
  <c r="AB49" i="2" s="1"/>
  <c r="AC49" i="2" s="1"/>
  <c r="AD49" i="2" s="1"/>
  <c r="AE49" i="2" s="1"/>
  <c r="AF49" i="2" s="1"/>
  <c r="AG49" i="2" s="1"/>
  <c r="AH49" i="2" s="1"/>
  <c r="AI49" i="2" s="1"/>
  <c r="AJ49" i="2" s="1"/>
  <c r="AK49" i="2" s="1"/>
  <c r="R49" i="2"/>
  <c r="T33" i="3"/>
  <c r="T34" i="3" s="1"/>
  <c r="U33" i="3"/>
  <c r="U34" i="3" s="1"/>
  <c r="S33" i="3"/>
  <c r="S34" i="3" s="1"/>
  <c r="F30" i="18"/>
  <c r="G30" i="18" s="1"/>
  <c r="H30" i="18" s="1"/>
  <c r="F23" i="18"/>
  <c r="G23" i="18" s="1"/>
  <c r="F16" i="18"/>
  <c r="G16" i="18" s="1"/>
  <c r="H16" i="18" s="1"/>
  <c r="I16" i="18" s="1"/>
  <c r="J16" i="18" s="1"/>
  <c r="K16" i="18" s="1"/>
  <c r="L16" i="18" s="1"/>
  <c r="M16" i="18" s="1"/>
  <c r="N16" i="18" s="1"/>
  <c r="O16" i="18" s="1"/>
  <c r="P16" i="18" s="1"/>
  <c r="Q16" i="18" s="1"/>
  <c r="R16" i="18" s="1"/>
  <c r="S16" i="18" s="1"/>
  <c r="T16" i="18" s="1"/>
  <c r="U16" i="18" s="1"/>
  <c r="V16" i="18" s="1"/>
  <c r="W16" i="18" s="1"/>
  <c r="X16" i="18" s="1"/>
  <c r="Y16" i="18" s="1"/>
  <c r="J27" i="18"/>
  <c r="J20" i="18"/>
  <c r="J13" i="18"/>
  <c r="J29" i="18"/>
  <c r="K29" i="18" s="1"/>
  <c r="L29" i="18" s="1"/>
  <c r="M29" i="18" s="1"/>
  <c r="N29" i="18" s="1"/>
  <c r="O29" i="18" s="1"/>
  <c r="P29" i="18" s="1"/>
  <c r="Q29" i="18" s="1"/>
  <c r="R29" i="18" s="1"/>
  <c r="S29" i="18" s="1"/>
  <c r="T29" i="18" s="1"/>
  <c r="U29" i="18" s="1"/>
  <c r="V29" i="18" s="1"/>
  <c r="W29" i="18" s="1"/>
  <c r="X29" i="18" s="1"/>
  <c r="Y29" i="18" s="1"/>
  <c r="G29" i="18"/>
  <c r="H29" i="18" s="1"/>
  <c r="I29" i="18" s="1"/>
  <c r="F28" i="18"/>
  <c r="G22" i="18"/>
  <c r="H22" i="18" s="1"/>
  <c r="I22" i="18" s="1"/>
  <c r="J22" i="18" s="1"/>
  <c r="K22" i="18" s="1"/>
  <c r="L22" i="18" s="1"/>
  <c r="M22" i="18" s="1"/>
  <c r="N22" i="18" s="1"/>
  <c r="O22" i="18" s="1"/>
  <c r="P22" i="18" s="1"/>
  <c r="Q22" i="18" s="1"/>
  <c r="R22" i="18" s="1"/>
  <c r="S22" i="18" s="1"/>
  <c r="T22" i="18" s="1"/>
  <c r="U22" i="18" s="1"/>
  <c r="V22" i="18" s="1"/>
  <c r="W22" i="18" s="1"/>
  <c r="X22" i="18" s="1"/>
  <c r="Y22" i="18" s="1"/>
  <c r="G21" i="18"/>
  <c r="H21" i="18" s="1"/>
  <c r="I21" i="18" s="1"/>
  <c r="F21" i="18"/>
  <c r="E8" i="18"/>
  <c r="D8" i="18"/>
  <c r="E8" i="8"/>
  <c r="J15" i="18"/>
  <c r="K15" i="18" s="1"/>
  <c r="L15" i="18" s="1"/>
  <c r="M15" i="18" s="1"/>
  <c r="N15" i="18" s="1"/>
  <c r="O15" i="18" s="1"/>
  <c r="P15" i="18" s="1"/>
  <c r="Q15" i="18" s="1"/>
  <c r="R15" i="18" s="1"/>
  <c r="S15" i="18" s="1"/>
  <c r="T15" i="18" s="1"/>
  <c r="U15" i="18" s="1"/>
  <c r="V15" i="18" s="1"/>
  <c r="W15" i="18" s="1"/>
  <c r="X15" i="18" s="1"/>
  <c r="Y15" i="18" s="1"/>
  <c r="I15" i="18"/>
  <c r="H15" i="18"/>
  <c r="G15" i="18"/>
  <c r="G14" i="18"/>
  <c r="H14" i="18" s="1"/>
  <c r="I14" i="18" s="1"/>
  <c r="F14" i="18"/>
  <c r="J4" i="18"/>
  <c r="N4" i="18" s="1"/>
  <c r="R4" i="18" s="1"/>
  <c r="V4" i="18" s="1"/>
  <c r="F4" i="18"/>
  <c r="C4" i="18"/>
  <c r="G4" i="18" s="1"/>
  <c r="K4" i="18" s="1"/>
  <c r="O4" i="18" s="1"/>
  <c r="S4" i="18" s="1"/>
  <c r="W4" i="18" s="1"/>
  <c r="I3" i="18"/>
  <c r="M3" i="18" s="1"/>
  <c r="Q3" i="18" s="1"/>
  <c r="U3" i="18" s="1"/>
  <c r="Y3" i="18" s="1"/>
  <c r="H3" i="18"/>
  <c r="L3" i="18" s="1"/>
  <c r="P3" i="18" s="1"/>
  <c r="T3" i="18" s="1"/>
  <c r="X3" i="18" s="1"/>
  <c r="G3" i="18"/>
  <c r="K3" i="18" s="1"/>
  <c r="O3" i="18" s="1"/>
  <c r="S3" i="18" s="1"/>
  <c r="W3" i="18" s="1"/>
  <c r="F3" i="18"/>
  <c r="J3" i="18" s="1"/>
  <c r="N3" i="18" s="1"/>
  <c r="R3" i="18" s="1"/>
  <c r="V3" i="18" s="1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Q2" i="18" s="1"/>
  <c r="R2" i="18" s="1"/>
  <c r="S2" i="18" s="1"/>
  <c r="T2" i="18" s="1"/>
  <c r="U2" i="18" s="1"/>
  <c r="V2" i="18" s="1"/>
  <c r="W2" i="18" s="1"/>
  <c r="X2" i="18" s="1"/>
  <c r="Y2" i="18" s="1"/>
  <c r="B36" i="6"/>
  <c r="G36" i="6" s="1"/>
  <c r="L31" i="6"/>
  <c r="F25" i="6"/>
  <c r="F19" i="7" s="1"/>
  <c r="I101" i="7"/>
  <c r="H101" i="7"/>
  <c r="G101" i="7"/>
  <c r="H100" i="7"/>
  <c r="H18" i="7" s="1"/>
  <c r="G100" i="7"/>
  <c r="G18" i="7" s="1"/>
  <c r="G99" i="7"/>
  <c r="F101" i="7"/>
  <c r="F100" i="7"/>
  <c r="F18" i="7" s="1"/>
  <c r="F99" i="7"/>
  <c r="G86" i="8"/>
  <c r="H86" i="8" s="1"/>
  <c r="I86" i="8" s="1"/>
  <c r="J86" i="8" s="1"/>
  <c r="G80" i="8"/>
  <c r="G40" i="6"/>
  <c r="H40" i="6" s="1"/>
  <c r="I40" i="6" s="1"/>
  <c r="J40" i="6" s="1"/>
  <c r="K40" i="6" s="1"/>
  <c r="L40" i="6" s="1"/>
  <c r="M40" i="6" s="1"/>
  <c r="N40" i="6" s="1"/>
  <c r="O40" i="6" s="1"/>
  <c r="P40" i="6" s="1"/>
  <c r="Q40" i="6" s="1"/>
  <c r="R40" i="6" s="1"/>
  <c r="S40" i="6" s="1"/>
  <c r="T40" i="6" s="1"/>
  <c r="U40" i="6" s="1"/>
  <c r="G37" i="6"/>
  <c r="G46" i="6"/>
  <c r="H46" i="6" s="1"/>
  <c r="I46" i="6" s="1"/>
  <c r="J46" i="6" s="1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Y46" i="6" s="1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5" i="6"/>
  <c r="F44" i="6"/>
  <c r="G43" i="6"/>
  <c r="H43" i="6" s="1"/>
  <c r="I43" i="6" s="1"/>
  <c r="J43" i="6" s="1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Y43" i="6" s="1"/>
  <c r="G32" i="6"/>
  <c r="C53" i="13"/>
  <c r="F2" i="8"/>
  <c r="F21" i="6"/>
  <c r="F22" i="6" s="1"/>
  <c r="C15" i="13"/>
  <c r="D15" i="13" s="1"/>
  <c r="E15" i="13" s="1"/>
  <c r="F15" i="13" s="1"/>
  <c r="G15" i="13" s="1"/>
  <c r="F41" i="12"/>
  <c r="E41" i="12"/>
  <c r="D41" i="12"/>
  <c r="C41" i="12"/>
  <c r="C40" i="12"/>
  <c r="D40" i="12"/>
  <c r="E40" i="12"/>
  <c r="F40" i="12"/>
  <c r="D39" i="12"/>
  <c r="E39" i="12"/>
  <c r="F39" i="12"/>
  <c r="C39" i="12"/>
  <c r="E4" i="12"/>
  <c r="F4" i="12" s="1"/>
  <c r="G4" i="12" s="1"/>
  <c r="H4" i="12" s="1"/>
  <c r="I4" i="12" s="1"/>
  <c r="J4" i="12" s="1"/>
  <c r="K4" i="12" s="1"/>
  <c r="D4" i="12"/>
  <c r="E3" i="3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W3" i="3" s="1"/>
  <c r="X3" i="3" s="1"/>
  <c r="Y3" i="3" s="1"/>
  <c r="Z3" i="3" s="1"/>
  <c r="AA3" i="3" s="1"/>
  <c r="AB3" i="3" s="1"/>
  <c r="AC3" i="3" s="1"/>
  <c r="AD3" i="3" s="1"/>
  <c r="AE3" i="3" s="1"/>
  <c r="AF3" i="3" s="1"/>
  <c r="AG3" i="3" s="1"/>
  <c r="AH3" i="3" s="1"/>
  <c r="AI3" i="3" s="1"/>
  <c r="AJ3" i="3" s="1"/>
  <c r="AK3" i="3" s="1"/>
  <c r="AL3" i="3" s="1"/>
  <c r="D3" i="3"/>
  <c r="K32" i="12"/>
  <c r="K33" i="12" s="1"/>
  <c r="K34" i="12" s="1"/>
  <c r="J32" i="12"/>
  <c r="J33" i="12" s="1"/>
  <c r="J34" i="12" s="1"/>
  <c r="I32" i="12"/>
  <c r="I33" i="12" s="1"/>
  <c r="H32" i="12"/>
  <c r="H33" i="12" s="1"/>
  <c r="G32" i="12"/>
  <c r="F32" i="12"/>
  <c r="F33" i="12" s="1"/>
  <c r="E32" i="12"/>
  <c r="D32" i="12"/>
  <c r="D33" i="12" s="1"/>
  <c r="D34" i="12" s="1"/>
  <c r="C32" i="12"/>
  <c r="C33" i="12" s="1"/>
  <c r="C34" i="12" s="1"/>
  <c r="K31" i="12"/>
  <c r="J31" i="12"/>
  <c r="I31" i="12"/>
  <c r="H31" i="12"/>
  <c r="G31" i="12"/>
  <c r="F31" i="12"/>
  <c r="E31" i="12"/>
  <c r="D31" i="12"/>
  <c r="C31" i="12"/>
  <c r="K29" i="12"/>
  <c r="J29" i="12"/>
  <c r="I29" i="12"/>
  <c r="H29" i="12"/>
  <c r="G29" i="12"/>
  <c r="F29" i="12"/>
  <c r="E29" i="12"/>
  <c r="D29" i="12"/>
  <c r="C29" i="12"/>
  <c r="K24" i="12"/>
  <c r="J24" i="12"/>
  <c r="I24" i="12"/>
  <c r="I25" i="12" s="1"/>
  <c r="H24" i="12"/>
  <c r="H25" i="12" s="1"/>
  <c r="G24" i="12"/>
  <c r="G25" i="12" s="1"/>
  <c r="F24" i="12"/>
  <c r="F25" i="12" s="1"/>
  <c r="E24" i="12"/>
  <c r="D24" i="12"/>
  <c r="C24" i="12"/>
  <c r="K22" i="12"/>
  <c r="J22" i="12"/>
  <c r="I22" i="12"/>
  <c r="H22" i="12"/>
  <c r="G22" i="12"/>
  <c r="F22" i="12"/>
  <c r="E22" i="12"/>
  <c r="D22" i="12"/>
  <c r="C22" i="12"/>
  <c r="K21" i="12"/>
  <c r="J21" i="12"/>
  <c r="I21" i="12"/>
  <c r="H21" i="12"/>
  <c r="G21" i="12"/>
  <c r="F21" i="12"/>
  <c r="E21" i="12"/>
  <c r="D21" i="12"/>
  <c r="C21" i="12"/>
  <c r="K17" i="12"/>
  <c r="J17" i="12"/>
  <c r="I17" i="12"/>
  <c r="H17" i="12"/>
  <c r="G17" i="12"/>
  <c r="F17" i="12"/>
  <c r="E17" i="12"/>
  <c r="D17" i="12"/>
  <c r="C17" i="12"/>
  <c r="F15" i="12"/>
  <c r="E15" i="12"/>
  <c r="D15" i="12"/>
  <c r="C15" i="12"/>
  <c r="F14" i="12"/>
  <c r="E14" i="12"/>
  <c r="D14" i="12"/>
  <c r="C14" i="12"/>
  <c r="F13" i="12"/>
  <c r="E13" i="12"/>
  <c r="D13" i="12"/>
  <c r="C13" i="12"/>
  <c r="C10" i="12"/>
  <c r="D10" i="12"/>
  <c r="E10" i="12"/>
  <c r="F10" i="12"/>
  <c r="D9" i="12"/>
  <c r="E9" i="12"/>
  <c r="F9" i="12"/>
  <c r="C9" i="12"/>
  <c r="E5" i="12"/>
  <c r="F5" i="12" s="1"/>
  <c r="G5" i="12" s="1"/>
  <c r="H5" i="12" s="1"/>
  <c r="I5" i="12" s="1"/>
  <c r="J5" i="12" s="1"/>
  <c r="K5" i="12" s="1"/>
  <c r="D5" i="12"/>
  <c r="E49" i="11"/>
  <c r="D49" i="11"/>
  <c r="C49" i="11"/>
  <c r="B49" i="11"/>
  <c r="J48" i="11"/>
  <c r="I48" i="11"/>
  <c r="H48" i="11"/>
  <c r="G48" i="11"/>
  <c r="F48" i="11"/>
  <c r="E48" i="11"/>
  <c r="D48" i="11"/>
  <c r="C48" i="11"/>
  <c r="B48" i="11"/>
  <c r="E47" i="11"/>
  <c r="D47" i="11"/>
  <c r="C47" i="11"/>
  <c r="B47" i="11"/>
  <c r="J41" i="11"/>
  <c r="I41" i="11"/>
  <c r="H41" i="11"/>
  <c r="G41" i="11"/>
  <c r="F41" i="11"/>
  <c r="E41" i="11"/>
  <c r="D41" i="11"/>
  <c r="C41" i="11"/>
  <c r="C42" i="11" s="1"/>
  <c r="B41" i="11"/>
  <c r="J40" i="11"/>
  <c r="I40" i="11"/>
  <c r="H40" i="11"/>
  <c r="G40" i="11"/>
  <c r="F40" i="11"/>
  <c r="E40" i="11"/>
  <c r="E42" i="11" s="1"/>
  <c r="D40" i="11"/>
  <c r="D42" i="11" s="1"/>
  <c r="C40" i="11"/>
  <c r="B40" i="11"/>
  <c r="J32" i="11"/>
  <c r="I32" i="11"/>
  <c r="H32" i="11"/>
  <c r="G32" i="11"/>
  <c r="F32" i="11"/>
  <c r="E32" i="11"/>
  <c r="D32" i="11"/>
  <c r="C32" i="11"/>
  <c r="B32" i="11"/>
  <c r="J31" i="11"/>
  <c r="I31" i="11"/>
  <c r="H31" i="11"/>
  <c r="G31" i="11"/>
  <c r="F31" i="11"/>
  <c r="E31" i="11"/>
  <c r="D31" i="11"/>
  <c r="C31" i="11"/>
  <c r="B31" i="11"/>
  <c r="J30" i="11"/>
  <c r="I30" i="11"/>
  <c r="H30" i="11"/>
  <c r="G30" i="11"/>
  <c r="F30" i="11"/>
  <c r="E30" i="11"/>
  <c r="D30" i="11"/>
  <c r="C30" i="11"/>
  <c r="B30" i="11"/>
  <c r="J29" i="11"/>
  <c r="I29" i="11"/>
  <c r="H29" i="11"/>
  <c r="G29" i="11"/>
  <c r="F29" i="11"/>
  <c r="E29" i="11"/>
  <c r="D29" i="11"/>
  <c r="C29" i="11"/>
  <c r="B29" i="11"/>
  <c r="J28" i="11"/>
  <c r="I28" i="11"/>
  <c r="H28" i="11"/>
  <c r="G28" i="11"/>
  <c r="G33" i="11" s="1"/>
  <c r="F28" i="11"/>
  <c r="E28" i="11"/>
  <c r="D28" i="11"/>
  <c r="C28" i="11"/>
  <c r="B28" i="11"/>
  <c r="J27" i="11"/>
  <c r="I27" i="11"/>
  <c r="H27" i="11"/>
  <c r="G27" i="11"/>
  <c r="F27" i="11"/>
  <c r="E27" i="11"/>
  <c r="D27" i="11"/>
  <c r="C27" i="11"/>
  <c r="B27" i="11"/>
  <c r="J26" i="11"/>
  <c r="I26" i="11"/>
  <c r="I33" i="11" s="1"/>
  <c r="H26" i="11"/>
  <c r="G26" i="11"/>
  <c r="F26" i="11"/>
  <c r="E26" i="11"/>
  <c r="D26" i="11"/>
  <c r="C26" i="11"/>
  <c r="B26" i="11"/>
  <c r="J25" i="11"/>
  <c r="J33" i="11" s="1"/>
  <c r="I25" i="11"/>
  <c r="H25" i="11"/>
  <c r="G25" i="11"/>
  <c r="F25" i="11"/>
  <c r="E25" i="11"/>
  <c r="D25" i="11"/>
  <c r="C25" i="11"/>
  <c r="B25" i="11"/>
  <c r="B33" i="11" s="1"/>
  <c r="J24" i="11"/>
  <c r="I24" i="11"/>
  <c r="H24" i="11"/>
  <c r="G24" i="11"/>
  <c r="F24" i="11"/>
  <c r="E24" i="11"/>
  <c r="D24" i="11"/>
  <c r="C24" i="11"/>
  <c r="C33" i="11" s="1"/>
  <c r="B24" i="11"/>
  <c r="J23" i="11"/>
  <c r="I23" i="11"/>
  <c r="H23" i="11"/>
  <c r="H33" i="11" s="1"/>
  <c r="G23" i="11"/>
  <c r="F23" i="11"/>
  <c r="E23" i="11"/>
  <c r="D23" i="11"/>
  <c r="D33" i="11" s="1"/>
  <c r="C23" i="11"/>
  <c r="B23" i="11"/>
  <c r="J22" i="11"/>
  <c r="I22" i="11"/>
  <c r="H22" i="11"/>
  <c r="G22" i="11"/>
  <c r="F22" i="11"/>
  <c r="F33" i="11" s="1"/>
  <c r="E22" i="11"/>
  <c r="E33" i="11" s="1"/>
  <c r="D22" i="11"/>
  <c r="C22" i="11"/>
  <c r="B22" i="11"/>
  <c r="J18" i="11"/>
  <c r="I18" i="11"/>
  <c r="H18" i="11"/>
  <c r="G18" i="11"/>
  <c r="F18" i="11"/>
  <c r="E18" i="11"/>
  <c r="D18" i="11"/>
  <c r="C18" i="11"/>
  <c r="B18" i="11"/>
  <c r="J17" i="11"/>
  <c r="I17" i="11"/>
  <c r="H17" i="11"/>
  <c r="G17" i="11"/>
  <c r="F17" i="11"/>
  <c r="E17" i="11"/>
  <c r="D17" i="11"/>
  <c r="C17" i="11"/>
  <c r="B17" i="11"/>
  <c r="J16" i="11"/>
  <c r="I16" i="11"/>
  <c r="H16" i="11"/>
  <c r="G16" i="11"/>
  <c r="F16" i="11"/>
  <c r="E16" i="11"/>
  <c r="D16" i="11"/>
  <c r="C16" i="11"/>
  <c r="B16" i="11"/>
  <c r="J15" i="11"/>
  <c r="I15" i="11"/>
  <c r="H15" i="11"/>
  <c r="G15" i="11"/>
  <c r="F15" i="11"/>
  <c r="E15" i="11"/>
  <c r="D15" i="11"/>
  <c r="C15" i="11"/>
  <c r="B15" i="11"/>
  <c r="J14" i="11"/>
  <c r="I14" i="11"/>
  <c r="H14" i="11"/>
  <c r="G14" i="11"/>
  <c r="F14" i="11"/>
  <c r="E14" i="11"/>
  <c r="D14" i="11"/>
  <c r="C14" i="11"/>
  <c r="B14" i="11"/>
  <c r="J13" i="11"/>
  <c r="I13" i="11"/>
  <c r="H13" i="11"/>
  <c r="G13" i="11"/>
  <c r="F13" i="11"/>
  <c r="E13" i="11"/>
  <c r="D13" i="11"/>
  <c r="C13" i="11"/>
  <c r="B13" i="11"/>
  <c r="E12" i="11"/>
  <c r="E19" i="11" s="1"/>
  <c r="D12" i="11"/>
  <c r="D19" i="11" s="1"/>
  <c r="C12" i="11"/>
  <c r="C19" i="11" s="1"/>
  <c r="B12" i="11"/>
  <c r="C8" i="11"/>
  <c r="C9" i="11" s="1"/>
  <c r="D8" i="11"/>
  <c r="E8" i="11"/>
  <c r="F8" i="11"/>
  <c r="G8" i="11"/>
  <c r="H8" i="11"/>
  <c r="I8" i="11"/>
  <c r="I9" i="11" s="1"/>
  <c r="J8" i="11"/>
  <c r="J9" i="11" s="1"/>
  <c r="B8" i="11"/>
  <c r="B9" i="11" s="1"/>
  <c r="E4" i="11"/>
  <c r="F4" i="11" s="1"/>
  <c r="G4" i="11" s="1"/>
  <c r="H4" i="11" s="1"/>
  <c r="I4" i="11" s="1"/>
  <c r="J4" i="11" s="1"/>
  <c r="D4" i="11"/>
  <c r="C4" i="1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D5" i="11"/>
  <c r="E5" i="11" s="1"/>
  <c r="F5" i="11" s="1"/>
  <c r="G5" i="11" s="1"/>
  <c r="H5" i="11" s="1"/>
  <c r="I5" i="11" s="1"/>
  <c r="J5" i="11" s="1"/>
  <c r="C5" i="11"/>
  <c r="K25" i="12"/>
  <c r="K26" i="12" s="1"/>
  <c r="J25" i="12"/>
  <c r="J26" i="12" s="1"/>
  <c r="E25" i="12"/>
  <c r="D25" i="12"/>
  <c r="D26" i="12" s="1"/>
  <c r="C25" i="12"/>
  <c r="C26" i="12" s="1"/>
  <c r="J42" i="11"/>
  <c r="I42" i="11"/>
  <c r="H42" i="11"/>
  <c r="G42" i="11"/>
  <c r="F42" i="11"/>
  <c r="B42" i="11"/>
  <c r="H9" i="11"/>
  <c r="G9" i="11"/>
  <c r="F9" i="11"/>
  <c r="E9" i="11"/>
  <c r="D9" i="11"/>
  <c r="T48" i="2"/>
  <c r="U48" i="2" s="1"/>
  <c r="S48" i="2"/>
  <c r="R48" i="2"/>
  <c r="S40" i="2"/>
  <c r="S42" i="2" s="1"/>
  <c r="R40" i="2"/>
  <c r="R42" i="2"/>
  <c r="S32" i="2"/>
  <c r="T32" i="2" s="1"/>
  <c r="U32" i="2" s="1"/>
  <c r="V32" i="2" s="1"/>
  <c r="W32" i="2" s="1"/>
  <c r="X32" i="2" s="1"/>
  <c r="Y32" i="2" s="1"/>
  <c r="Z32" i="2" s="1"/>
  <c r="AA32" i="2" s="1"/>
  <c r="AB32" i="2" s="1"/>
  <c r="AC32" i="2" s="1"/>
  <c r="AD32" i="2" s="1"/>
  <c r="AE32" i="2" s="1"/>
  <c r="AF32" i="2" s="1"/>
  <c r="AG32" i="2" s="1"/>
  <c r="AH32" i="2" s="1"/>
  <c r="AI32" i="2" s="1"/>
  <c r="AJ32" i="2" s="1"/>
  <c r="AK32" i="2" s="1"/>
  <c r="T31" i="2"/>
  <c r="U31" i="2" s="1"/>
  <c r="V31" i="2" s="1"/>
  <c r="W31" i="2" s="1"/>
  <c r="X31" i="2" s="1"/>
  <c r="Y31" i="2" s="1"/>
  <c r="Z31" i="2" s="1"/>
  <c r="AA31" i="2" s="1"/>
  <c r="AB31" i="2" s="1"/>
  <c r="AC31" i="2" s="1"/>
  <c r="AD31" i="2" s="1"/>
  <c r="AE31" i="2" s="1"/>
  <c r="AF31" i="2" s="1"/>
  <c r="AG31" i="2" s="1"/>
  <c r="AH31" i="2" s="1"/>
  <c r="AI31" i="2" s="1"/>
  <c r="AJ31" i="2" s="1"/>
  <c r="AK31" i="2" s="1"/>
  <c r="S31" i="2"/>
  <c r="S30" i="2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F30" i="2" s="1"/>
  <c r="AG30" i="2" s="1"/>
  <c r="AH30" i="2" s="1"/>
  <c r="AI30" i="2" s="1"/>
  <c r="AJ30" i="2" s="1"/>
  <c r="AK30" i="2" s="1"/>
  <c r="S29" i="2"/>
  <c r="T29" i="2" s="1"/>
  <c r="U29" i="2" s="1"/>
  <c r="V29" i="2" s="1"/>
  <c r="W29" i="2" s="1"/>
  <c r="X29" i="2" s="1"/>
  <c r="Y29" i="2" s="1"/>
  <c r="Z29" i="2" s="1"/>
  <c r="AA29" i="2" s="1"/>
  <c r="AB29" i="2" s="1"/>
  <c r="AC29" i="2" s="1"/>
  <c r="AD29" i="2" s="1"/>
  <c r="AE29" i="2" s="1"/>
  <c r="AF29" i="2" s="1"/>
  <c r="AG29" i="2" s="1"/>
  <c r="AH29" i="2" s="1"/>
  <c r="AI29" i="2" s="1"/>
  <c r="AJ29" i="2" s="1"/>
  <c r="AK29" i="2" s="1"/>
  <c r="U28" i="2"/>
  <c r="V28" i="2" s="1"/>
  <c r="W28" i="2" s="1"/>
  <c r="X28" i="2" s="1"/>
  <c r="Y28" i="2" s="1"/>
  <c r="Z28" i="2" s="1"/>
  <c r="AA28" i="2" s="1"/>
  <c r="AB28" i="2" s="1"/>
  <c r="AC28" i="2" s="1"/>
  <c r="AD28" i="2" s="1"/>
  <c r="AE28" i="2" s="1"/>
  <c r="AF28" i="2" s="1"/>
  <c r="AG28" i="2" s="1"/>
  <c r="AH28" i="2" s="1"/>
  <c r="AI28" i="2" s="1"/>
  <c r="AJ28" i="2" s="1"/>
  <c r="AK28" i="2" s="1"/>
  <c r="T28" i="2"/>
  <c r="S28" i="2"/>
  <c r="T27" i="2"/>
  <c r="U27" i="2" s="1"/>
  <c r="V27" i="2" s="1"/>
  <c r="W27" i="2" s="1"/>
  <c r="X27" i="2" s="1"/>
  <c r="Y27" i="2" s="1"/>
  <c r="Z27" i="2" s="1"/>
  <c r="AA27" i="2" s="1"/>
  <c r="AB27" i="2" s="1"/>
  <c r="AC27" i="2" s="1"/>
  <c r="AD27" i="2" s="1"/>
  <c r="AE27" i="2" s="1"/>
  <c r="AF27" i="2" s="1"/>
  <c r="AG27" i="2" s="1"/>
  <c r="AH27" i="2" s="1"/>
  <c r="AI27" i="2" s="1"/>
  <c r="AJ27" i="2" s="1"/>
  <c r="AK27" i="2" s="1"/>
  <c r="S27" i="2"/>
  <c r="S26" i="2"/>
  <c r="T26" i="2" s="1"/>
  <c r="U26" i="2" s="1"/>
  <c r="V26" i="2" s="1"/>
  <c r="W26" i="2" s="1"/>
  <c r="X26" i="2" s="1"/>
  <c r="Y26" i="2" s="1"/>
  <c r="Z26" i="2" s="1"/>
  <c r="AA26" i="2" s="1"/>
  <c r="AB26" i="2" s="1"/>
  <c r="AC26" i="2" s="1"/>
  <c r="AD26" i="2" s="1"/>
  <c r="AE26" i="2" s="1"/>
  <c r="AF26" i="2" s="1"/>
  <c r="AG26" i="2" s="1"/>
  <c r="AH26" i="2" s="1"/>
  <c r="AI26" i="2" s="1"/>
  <c r="AJ26" i="2" s="1"/>
  <c r="AK26" i="2" s="1"/>
  <c r="V25" i="2"/>
  <c r="W25" i="2" s="1"/>
  <c r="X25" i="2" s="1"/>
  <c r="Y25" i="2" s="1"/>
  <c r="Z25" i="2" s="1"/>
  <c r="AA25" i="2" s="1"/>
  <c r="AB25" i="2" s="1"/>
  <c r="AC25" i="2" s="1"/>
  <c r="AD25" i="2" s="1"/>
  <c r="AE25" i="2" s="1"/>
  <c r="AF25" i="2" s="1"/>
  <c r="AG25" i="2" s="1"/>
  <c r="AH25" i="2" s="1"/>
  <c r="AI25" i="2" s="1"/>
  <c r="AJ25" i="2" s="1"/>
  <c r="AK25" i="2" s="1"/>
  <c r="U25" i="2"/>
  <c r="T25" i="2"/>
  <c r="S25" i="2"/>
  <c r="S24" i="2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AD24" i="2" s="1"/>
  <c r="AE24" i="2" s="1"/>
  <c r="AF24" i="2" s="1"/>
  <c r="AG24" i="2" s="1"/>
  <c r="AH24" i="2" s="1"/>
  <c r="AI24" i="2" s="1"/>
  <c r="AJ24" i="2" s="1"/>
  <c r="AK24" i="2" s="1"/>
  <c r="T23" i="2"/>
  <c r="U23" i="2" s="1"/>
  <c r="V23" i="2" s="1"/>
  <c r="W23" i="2" s="1"/>
  <c r="X23" i="2" s="1"/>
  <c r="Y23" i="2" s="1"/>
  <c r="Z23" i="2" s="1"/>
  <c r="AA23" i="2" s="1"/>
  <c r="AB23" i="2" s="1"/>
  <c r="AC23" i="2" s="1"/>
  <c r="AD23" i="2" s="1"/>
  <c r="AE23" i="2" s="1"/>
  <c r="AF23" i="2" s="1"/>
  <c r="AG23" i="2" s="1"/>
  <c r="AH23" i="2" s="1"/>
  <c r="AI23" i="2" s="1"/>
  <c r="AJ23" i="2" s="1"/>
  <c r="AK23" i="2" s="1"/>
  <c r="S23" i="2"/>
  <c r="S22" i="2"/>
  <c r="S33" i="2" s="1"/>
  <c r="R23" i="2"/>
  <c r="R24" i="2"/>
  <c r="R25" i="2"/>
  <c r="R26" i="2"/>
  <c r="R27" i="2"/>
  <c r="R33" i="2" s="1"/>
  <c r="R28" i="2"/>
  <c r="R29" i="2"/>
  <c r="R30" i="2"/>
  <c r="R31" i="2"/>
  <c r="R32" i="2"/>
  <c r="R22" i="2"/>
  <c r="S13" i="2"/>
  <c r="T13" i="2"/>
  <c r="U13" i="2" s="1"/>
  <c r="S14" i="2"/>
  <c r="T14" i="2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S15" i="2"/>
  <c r="T15" i="2"/>
  <c r="U15" i="2" s="1"/>
  <c r="V15" i="2" s="1"/>
  <c r="W15" i="2" s="1"/>
  <c r="X15" i="2" s="1"/>
  <c r="Y15" i="2" s="1"/>
  <c r="Z15" i="2" s="1"/>
  <c r="AA15" i="2" s="1"/>
  <c r="AB15" i="2" s="1"/>
  <c r="AC15" i="2" s="1"/>
  <c r="AD15" i="2" s="1"/>
  <c r="AE15" i="2" s="1"/>
  <c r="AF15" i="2" s="1"/>
  <c r="AG15" i="2" s="1"/>
  <c r="AH15" i="2" s="1"/>
  <c r="AI15" i="2" s="1"/>
  <c r="AJ15" i="2" s="1"/>
  <c r="AK15" i="2" s="1"/>
  <c r="S16" i="2"/>
  <c r="T16" i="2" s="1"/>
  <c r="U16" i="2" s="1"/>
  <c r="V16" i="2" s="1"/>
  <c r="W16" i="2" s="1"/>
  <c r="X16" i="2" s="1"/>
  <c r="Y16" i="2" s="1"/>
  <c r="Z16" i="2" s="1"/>
  <c r="AA16" i="2" s="1"/>
  <c r="AB16" i="2" s="1"/>
  <c r="AC16" i="2" s="1"/>
  <c r="AD16" i="2" s="1"/>
  <c r="AE16" i="2" s="1"/>
  <c r="AF16" i="2" s="1"/>
  <c r="AG16" i="2" s="1"/>
  <c r="AH16" i="2" s="1"/>
  <c r="AI16" i="2" s="1"/>
  <c r="AJ16" i="2" s="1"/>
  <c r="AK16" i="2" s="1"/>
  <c r="S17" i="2"/>
  <c r="T17" i="2" s="1"/>
  <c r="U17" i="2" s="1"/>
  <c r="V17" i="2" s="1"/>
  <c r="W17" i="2" s="1"/>
  <c r="X17" i="2" s="1"/>
  <c r="Y17" i="2" s="1"/>
  <c r="Z17" i="2" s="1"/>
  <c r="AA17" i="2" s="1"/>
  <c r="AB17" i="2" s="1"/>
  <c r="AC17" i="2" s="1"/>
  <c r="AD17" i="2" s="1"/>
  <c r="AE17" i="2" s="1"/>
  <c r="AF17" i="2" s="1"/>
  <c r="AG17" i="2" s="1"/>
  <c r="AH17" i="2" s="1"/>
  <c r="AI17" i="2" s="1"/>
  <c r="AJ17" i="2" s="1"/>
  <c r="AK17" i="2" s="1"/>
  <c r="S18" i="2"/>
  <c r="T18" i="2" s="1"/>
  <c r="U18" i="2" s="1"/>
  <c r="V18" i="2" s="1"/>
  <c r="W18" i="2" s="1"/>
  <c r="X18" i="2" s="1"/>
  <c r="Y18" i="2" s="1"/>
  <c r="Z18" i="2" s="1"/>
  <c r="AA18" i="2" s="1"/>
  <c r="AB18" i="2" s="1"/>
  <c r="AC18" i="2" s="1"/>
  <c r="AD18" i="2" s="1"/>
  <c r="AE18" i="2" s="1"/>
  <c r="AF18" i="2" s="1"/>
  <c r="AG18" i="2" s="1"/>
  <c r="AH18" i="2" s="1"/>
  <c r="AI18" i="2" s="1"/>
  <c r="AJ18" i="2" s="1"/>
  <c r="AK18" i="2" s="1"/>
  <c r="R14" i="2"/>
  <c r="R15" i="2"/>
  <c r="R16" i="2"/>
  <c r="R17" i="2"/>
  <c r="R18" i="2"/>
  <c r="R13" i="2"/>
  <c r="S9" i="2"/>
  <c r="S8" i="2"/>
  <c r="T8" i="2" s="1"/>
  <c r="R9" i="2"/>
  <c r="R8" i="2"/>
  <c r="S39" i="3"/>
  <c r="W5" i="3"/>
  <c r="AA5" i="3" s="1"/>
  <c r="AE5" i="3" s="1"/>
  <c r="AI5" i="3" s="1"/>
  <c r="T5" i="3"/>
  <c r="U5" i="3" s="1"/>
  <c r="W5" i="1"/>
  <c r="AA5" i="1" s="1"/>
  <c r="AE5" i="1" s="1"/>
  <c r="AI5" i="1" s="1"/>
  <c r="T5" i="1"/>
  <c r="X5" i="1" s="1"/>
  <c r="AB5" i="1" s="1"/>
  <c r="AF5" i="1" s="1"/>
  <c r="AJ5" i="1" s="1"/>
  <c r="W5" i="2"/>
  <c r="AA5" i="2" s="1"/>
  <c r="AE5" i="2" s="1"/>
  <c r="AI5" i="2" s="1"/>
  <c r="X5" i="2"/>
  <c r="Y5" i="2"/>
  <c r="Z5" i="2"/>
  <c r="AB5" i="2"/>
  <c r="AF5" i="2" s="1"/>
  <c r="AJ5" i="2" s="1"/>
  <c r="AC5" i="2"/>
  <c r="AG5" i="2" s="1"/>
  <c r="AK5" i="2" s="1"/>
  <c r="AD5" i="2"/>
  <c r="AH5" i="2" s="1"/>
  <c r="V5" i="2"/>
  <c r="T5" i="2"/>
  <c r="U5" i="2"/>
  <c r="S5" i="2"/>
  <c r="M4" i="3"/>
  <c r="Q4" i="3" s="1"/>
  <c r="U4" i="3" s="1"/>
  <c r="Y4" i="3" s="1"/>
  <c r="AC4" i="3" s="1"/>
  <c r="AG4" i="3" s="1"/>
  <c r="AK4" i="3" s="1"/>
  <c r="K4" i="3"/>
  <c r="O4" i="3" s="1"/>
  <c r="S4" i="3" s="1"/>
  <c r="W4" i="3" s="1"/>
  <c r="AA4" i="3" s="1"/>
  <c r="AE4" i="3" s="1"/>
  <c r="AI4" i="3" s="1"/>
  <c r="J4" i="3"/>
  <c r="N4" i="3" s="1"/>
  <c r="R4" i="3" s="1"/>
  <c r="V4" i="3" s="1"/>
  <c r="Z4" i="3" s="1"/>
  <c r="AD4" i="3" s="1"/>
  <c r="AH4" i="3" s="1"/>
  <c r="AL4" i="3" s="1"/>
  <c r="I4" i="3"/>
  <c r="H4" i="3"/>
  <c r="L4" i="3" s="1"/>
  <c r="P4" i="3" s="1"/>
  <c r="T4" i="3" s="1"/>
  <c r="X4" i="3" s="1"/>
  <c r="AB4" i="3" s="1"/>
  <c r="AF4" i="3" s="1"/>
  <c r="AJ4" i="3" s="1"/>
  <c r="G4" i="3"/>
  <c r="L4" i="2"/>
  <c r="P4" i="2" s="1"/>
  <c r="T4" i="2" s="1"/>
  <c r="X4" i="2" s="1"/>
  <c r="AB4" i="2" s="1"/>
  <c r="AF4" i="2" s="1"/>
  <c r="AJ4" i="2" s="1"/>
  <c r="J4" i="2"/>
  <c r="N4" i="2" s="1"/>
  <c r="R4" i="2" s="1"/>
  <c r="V4" i="2" s="1"/>
  <c r="Z4" i="2" s="1"/>
  <c r="AD4" i="2" s="1"/>
  <c r="AH4" i="2" s="1"/>
  <c r="I4" i="2"/>
  <c r="M4" i="2" s="1"/>
  <c r="Q4" i="2" s="1"/>
  <c r="U4" i="2" s="1"/>
  <c r="Y4" i="2" s="1"/>
  <c r="AC4" i="2" s="1"/>
  <c r="AG4" i="2" s="1"/>
  <c r="AK4" i="2" s="1"/>
  <c r="H4" i="2"/>
  <c r="G4" i="2"/>
  <c r="K4" i="2" s="1"/>
  <c r="O4" i="2" s="1"/>
  <c r="S4" i="2" s="1"/>
  <c r="W4" i="2" s="1"/>
  <c r="AA4" i="2" s="1"/>
  <c r="AE4" i="2" s="1"/>
  <c r="AI4" i="2" s="1"/>
  <c r="F4" i="2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H4" i="1"/>
  <c r="I4" i="1"/>
  <c r="M4" i="1" s="1"/>
  <c r="Q4" i="1" s="1"/>
  <c r="U4" i="1" s="1"/>
  <c r="Y4" i="1" s="1"/>
  <c r="AC4" i="1" s="1"/>
  <c r="AG4" i="1" s="1"/>
  <c r="AK4" i="1" s="1"/>
  <c r="J4" i="1"/>
  <c r="N4" i="1" s="1"/>
  <c r="R4" i="1" s="1"/>
  <c r="V4" i="1" s="1"/>
  <c r="Z4" i="1" s="1"/>
  <c r="AD4" i="1" s="1"/>
  <c r="AH4" i="1" s="1"/>
  <c r="AL4" i="1" s="1"/>
  <c r="G4" i="1"/>
  <c r="K4" i="1" s="1"/>
  <c r="O4" i="1" s="1"/>
  <c r="S4" i="1" s="1"/>
  <c r="W4" i="1" s="1"/>
  <c r="AA4" i="1" s="1"/>
  <c r="AE4" i="1" s="1"/>
  <c r="AI4" i="1" s="1"/>
  <c r="D5" i="10"/>
  <c r="F136" i="8"/>
  <c r="G136" i="8" s="1"/>
  <c r="H136" i="8" s="1"/>
  <c r="I136" i="8" s="1"/>
  <c r="J136" i="8" s="1"/>
  <c r="K136" i="8" s="1"/>
  <c r="L136" i="8" s="1"/>
  <c r="M136" i="8" s="1"/>
  <c r="N136" i="8" s="1"/>
  <c r="O136" i="8" s="1"/>
  <c r="P136" i="8" s="1"/>
  <c r="Q136" i="8" s="1"/>
  <c r="R136" i="8" s="1"/>
  <c r="S136" i="8" s="1"/>
  <c r="T136" i="8" s="1"/>
  <c r="U136" i="8" s="1"/>
  <c r="V136" i="8" s="1"/>
  <c r="W136" i="8" s="1"/>
  <c r="X136" i="8" s="1"/>
  <c r="Y136" i="8" s="1"/>
  <c r="C128" i="8"/>
  <c r="C132" i="8" s="1"/>
  <c r="D128" i="8"/>
  <c r="D132" i="8" s="1"/>
  <c r="E128" i="8"/>
  <c r="E132" i="8" s="1"/>
  <c r="B128" i="8"/>
  <c r="B132" i="8" s="1"/>
  <c r="C129" i="8"/>
  <c r="C135" i="8" s="1"/>
  <c r="D129" i="8"/>
  <c r="D135" i="8" s="1"/>
  <c r="D137" i="8" s="1"/>
  <c r="E129" i="8"/>
  <c r="E135" i="8" s="1"/>
  <c r="B129" i="8"/>
  <c r="B135" i="8" s="1"/>
  <c r="B137" i="8" s="1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F64" i="8"/>
  <c r="F66" i="8" s="1"/>
  <c r="F109" i="8" s="1"/>
  <c r="G71" i="8"/>
  <c r="H71" i="8" s="1"/>
  <c r="I71" i="8" s="1"/>
  <c r="G54" i="8"/>
  <c r="H54" i="8" s="1"/>
  <c r="I54" i="8" s="1"/>
  <c r="J54" i="8" s="1"/>
  <c r="K54" i="8" s="1"/>
  <c r="L54" i="8" s="1"/>
  <c r="M54" i="8" s="1"/>
  <c r="N54" i="8" s="1"/>
  <c r="O54" i="8" s="1"/>
  <c r="P54" i="8" s="1"/>
  <c r="Q54" i="8" s="1"/>
  <c r="R54" i="8" s="1"/>
  <c r="S54" i="8" s="1"/>
  <c r="T54" i="8" s="1"/>
  <c r="U54" i="8" s="1"/>
  <c r="V54" i="8" s="1"/>
  <c r="W54" i="8" s="1"/>
  <c r="X54" i="8" s="1"/>
  <c r="Y54" i="8" s="1"/>
  <c r="G52" i="8"/>
  <c r="H52" i="8" s="1"/>
  <c r="G41" i="8"/>
  <c r="H41" i="8" s="1"/>
  <c r="I41" i="8" s="1"/>
  <c r="J41" i="8" s="1"/>
  <c r="K41" i="8" s="1"/>
  <c r="L41" i="8" s="1"/>
  <c r="M41" i="8" s="1"/>
  <c r="N41" i="8" s="1"/>
  <c r="O41" i="8" s="1"/>
  <c r="P41" i="8" s="1"/>
  <c r="Q41" i="8" s="1"/>
  <c r="R41" i="8" s="1"/>
  <c r="S41" i="8" s="1"/>
  <c r="T41" i="8" s="1"/>
  <c r="U41" i="8" s="1"/>
  <c r="V41" i="8" s="1"/>
  <c r="W41" i="8" s="1"/>
  <c r="X41" i="8" s="1"/>
  <c r="Y41" i="8" s="1"/>
  <c r="G37" i="8"/>
  <c r="H37" i="8" s="1"/>
  <c r="I37" i="8" s="1"/>
  <c r="J37" i="8" s="1"/>
  <c r="G32" i="8"/>
  <c r="G18" i="8"/>
  <c r="H18" i="8" s="1"/>
  <c r="I18" i="8" s="1"/>
  <c r="J18" i="8" s="1"/>
  <c r="K18" i="8" s="1"/>
  <c r="G15" i="8"/>
  <c r="H15" i="8" s="1"/>
  <c r="I15" i="8" s="1"/>
  <c r="J15" i="8" s="1"/>
  <c r="K15" i="8" s="1"/>
  <c r="L15" i="8" s="1"/>
  <c r="F4" i="8"/>
  <c r="J4" i="8" s="1"/>
  <c r="N4" i="8" s="1"/>
  <c r="R4" i="8" s="1"/>
  <c r="V4" i="8" s="1"/>
  <c r="C4" i="8"/>
  <c r="G4" i="8" s="1"/>
  <c r="K4" i="8" s="1"/>
  <c r="O4" i="8" s="1"/>
  <c r="S4" i="8" s="1"/>
  <c r="W4" i="8" s="1"/>
  <c r="I3" i="8"/>
  <c r="M3" i="8" s="1"/>
  <c r="Q3" i="8" s="1"/>
  <c r="U3" i="8" s="1"/>
  <c r="Y3" i="8" s="1"/>
  <c r="H3" i="8"/>
  <c r="L3" i="8" s="1"/>
  <c r="P3" i="8" s="1"/>
  <c r="T3" i="8" s="1"/>
  <c r="X3" i="8" s="1"/>
  <c r="G3" i="8"/>
  <c r="K3" i="8" s="1"/>
  <c r="O3" i="8" s="1"/>
  <c r="S3" i="8" s="1"/>
  <c r="W3" i="8" s="1"/>
  <c r="F3" i="8"/>
  <c r="J3" i="8" s="1"/>
  <c r="N3" i="8" s="1"/>
  <c r="R3" i="8" s="1"/>
  <c r="V3" i="8" s="1"/>
  <c r="J90" i="7"/>
  <c r="K90" i="7" s="1"/>
  <c r="L90" i="7" s="1"/>
  <c r="M90" i="7" s="1"/>
  <c r="N90" i="7" s="1"/>
  <c r="O90" i="7" s="1"/>
  <c r="P90" i="7" s="1"/>
  <c r="Q90" i="7" s="1"/>
  <c r="R90" i="7" s="1"/>
  <c r="S90" i="7" s="1"/>
  <c r="T90" i="7" s="1"/>
  <c r="U90" i="7" s="1"/>
  <c r="V90" i="7" s="1"/>
  <c r="W90" i="7" s="1"/>
  <c r="X90" i="7" s="1"/>
  <c r="Y90" i="7" s="1"/>
  <c r="C84" i="7"/>
  <c r="D84" i="7"/>
  <c r="E84" i="7"/>
  <c r="B84" i="7"/>
  <c r="C80" i="7"/>
  <c r="D80" i="7"/>
  <c r="E80" i="7"/>
  <c r="B80" i="7"/>
  <c r="B79" i="7"/>
  <c r="C79" i="7"/>
  <c r="D79" i="7"/>
  <c r="E79" i="7"/>
  <c r="C78" i="7"/>
  <c r="D78" i="7"/>
  <c r="E78" i="7"/>
  <c r="B78" i="7"/>
  <c r="C77" i="7"/>
  <c r="D77" i="7"/>
  <c r="E77" i="7"/>
  <c r="B77" i="7"/>
  <c r="C51" i="7"/>
  <c r="D51" i="7"/>
  <c r="E51" i="7"/>
  <c r="B51" i="7"/>
  <c r="G66" i="7"/>
  <c r="H66" i="7" s="1"/>
  <c r="I66" i="7" s="1"/>
  <c r="J66" i="7" s="1"/>
  <c r="K66" i="7" s="1"/>
  <c r="L66" i="7" s="1"/>
  <c r="M66" i="7" s="1"/>
  <c r="N66" i="7" s="1"/>
  <c r="O66" i="7" s="1"/>
  <c r="P66" i="7" s="1"/>
  <c r="Q66" i="7" s="1"/>
  <c r="R66" i="7" s="1"/>
  <c r="S66" i="7" s="1"/>
  <c r="T66" i="7" s="1"/>
  <c r="U66" i="7" s="1"/>
  <c r="V66" i="7" s="1"/>
  <c r="W66" i="7" s="1"/>
  <c r="X66" i="7" s="1"/>
  <c r="Y66" i="7" s="1"/>
  <c r="F67" i="7"/>
  <c r="G67" i="7" s="1"/>
  <c r="H67" i="7" s="1"/>
  <c r="B68" i="7"/>
  <c r="C68" i="7"/>
  <c r="D68" i="7"/>
  <c r="E68" i="7"/>
  <c r="E66" i="7" s="1"/>
  <c r="C64" i="7"/>
  <c r="D64" i="7"/>
  <c r="E64" i="7"/>
  <c r="B64" i="7"/>
  <c r="C59" i="7"/>
  <c r="D59" i="7"/>
  <c r="E59" i="7"/>
  <c r="B59" i="7"/>
  <c r="G54" i="7"/>
  <c r="H54" i="7" s="1"/>
  <c r="I54" i="7" s="1"/>
  <c r="J54" i="7" s="1"/>
  <c r="K54" i="7" s="1"/>
  <c r="L54" i="7" s="1"/>
  <c r="M54" i="7" s="1"/>
  <c r="N54" i="7" s="1"/>
  <c r="O54" i="7" s="1"/>
  <c r="P54" i="7" s="1"/>
  <c r="Q54" i="7" s="1"/>
  <c r="R54" i="7" s="1"/>
  <c r="S54" i="7" s="1"/>
  <c r="T54" i="7" s="1"/>
  <c r="U54" i="7" s="1"/>
  <c r="V54" i="7" s="1"/>
  <c r="W54" i="7" s="1"/>
  <c r="X54" i="7" s="1"/>
  <c r="Y54" i="7" s="1"/>
  <c r="G63" i="7"/>
  <c r="C62" i="7"/>
  <c r="D62" i="7"/>
  <c r="E62" i="7"/>
  <c r="B62" i="7"/>
  <c r="F31" i="7"/>
  <c r="G31" i="7"/>
  <c r="H31" i="7"/>
  <c r="G28" i="7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J34" i="7"/>
  <c r="K34" i="7" s="1"/>
  <c r="I39" i="7"/>
  <c r="I40" i="7" s="1"/>
  <c r="E39" i="7"/>
  <c r="D39" i="7"/>
  <c r="C39" i="7"/>
  <c r="B39" i="7"/>
  <c r="E33" i="7"/>
  <c r="E34" i="7" s="1"/>
  <c r="C42" i="7"/>
  <c r="D42" i="7"/>
  <c r="E42" i="7"/>
  <c r="B42" i="7"/>
  <c r="C19" i="7"/>
  <c r="D19" i="7"/>
  <c r="E19" i="7"/>
  <c r="B19" i="7"/>
  <c r="C22" i="7"/>
  <c r="C24" i="7" s="1"/>
  <c r="D22" i="7"/>
  <c r="D24" i="7" s="1"/>
  <c r="D8" i="8" s="1"/>
  <c r="E22" i="7"/>
  <c r="E24" i="7" s="1"/>
  <c r="B22" i="7"/>
  <c r="B24" i="7" s="1"/>
  <c r="B8" i="8" s="1"/>
  <c r="C33" i="7"/>
  <c r="C34" i="7" s="1"/>
  <c r="D33" i="7"/>
  <c r="D34" i="7" s="1"/>
  <c r="B33" i="7"/>
  <c r="B34" i="7" s="1"/>
  <c r="B7" i="7"/>
  <c r="B9" i="7" s="1"/>
  <c r="B14" i="6"/>
  <c r="B15" i="6" s="1"/>
  <c r="B9" i="6"/>
  <c r="B76" i="7" s="1"/>
  <c r="G11" i="7"/>
  <c r="L4" i="1" l="1"/>
  <c r="P4" i="1" s="1"/>
  <c r="T4" i="1" s="1"/>
  <c r="X4" i="1" s="1"/>
  <c r="AB4" i="1" s="1"/>
  <c r="AF4" i="1" s="1"/>
  <c r="AJ4" i="1" s="1"/>
  <c r="C30" i="10" s="1"/>
  <c r="C8" i="10"/>
  <c r="C17" i="10"/>
  <c r="C28" i="10"/>
  <c r="D8" i="10"/>
  <c r="C24" i="10"/>
  <c r="U5" i="1"/>
  <c r="V5" i="1" s="1"/>
  <c r="Z5" i="1" s="1"/>
  <c r="AD5" i="1" s="1"/>
  <c r="AH5" i="1" s="1"/>
  <c r="AL5" i="1" s="1"/>
  <c r="G76" i="8"/>
  <c r="F17" i="8"/>
  <c r="G17" i="8" s="1"/>
  <c r="H17" i="8" s="1"/>
  <c r="I17" i="8" s="1"/>
  <c r="F39" i="8"/>
  <c r="G39" i="8" s="1"/>
  <c r="H39" i="8" s="1"/>
  <c r="I39" i="8" s="1"/>
  <c r="J39" i="8" s="1"/>
  <c r="K39" i="8" s="1"/>
  <c r="L39" i="8" s="1"/>
  <c r="M39" i="8" s="1"/>
  <c r="N39" i="8" s="1"/>
  <c r="O39" i="8" s="1"/>
  <c r="P39" i="8" s="1"/>
  <c r="Q39" i="8" s="1"/>
  <c r="R39" i="8" s="1"/>
  <c r="S39" i="8" s="1"/>
  <c r="T39" i="8" s="1"/>
  <c r="U39" i="8" s="1"/>
  <c r="V39" i="8" s="1"/>
  <c r="W39" i="8" s="1"/>
  <c r="X39" i="8" s="1"/>
  <c r="Y39" i="8" s="1"/>
  <c r="E50" i="11"/>
  <c r="B50" i="11"/>
  <c r="E33" i="12"/>
  <c r="E34" i="12" s="1"/>
  <c r="G33" i="12"/>
  <c r="G34" i="12" s="1"/>
  <c r="J14" i="18"/>
  <c r="K14" i="18" s="1"/>
  <c r="L14" i="18" s="1"/>
  <c r="M14" i="18" s="1"/>
  <c r="N14" i="18" s="1"/>
  <c r="O14" i="18" s="1"/>
  <c r="P14" i="18" s="1"/>
  <c r="Q14" i="18" s="1"/>
  <c r="R14" i="18" s="1"/>
  <c r="S14" i="18" s="1"/>
  <c r="T14" i="18" s="1"/>
  <c r="U14" i="18" s="1"/>
  <c r="V14" i="18" s="1"/>
  <c r="W14" i="18" s="1"/>
  <c r="X14" i="18" s="1"/>
  <c r="Y14" i="18" s="1"/>
  <c r="C8" i="8"/>
  <c r="B8" i="18"/>
  <c r="C8" i="18"/>
  <c r="J21" i="18"/>
  <c r="K21" i="18" s="1"/>
  <c r="L21" i="18" s="1"/>
  <c r="M21" i="18" s="1"/>
  <c r="N21" i="18" s="1"/>
  <c r="O21" i="18" s="1"/>
  <c r="P21" i="18" s="1"/>
  <c r="Q21" i="18" s="1"/>
  <c r="R21" i="18" s="1"/>
  <c r="S21" i="18" s="1"/>
  <c r="T21" i="18" s="1"/>
  <c r="U21" i="18" s="1"/>
  <c r="V21" i="18" s="1"/>
  <c r="W21" i="18" s="1"/>
  <c r="X21" i="18" s="1"/>
  <c r="Y21" i="18" s="1"/>
  <c r="B7" i="18"/>
  <c r="G28" i="18"/>
  <c r="H28" i="18" s="1"/>
  <c r="I28" i="18" s="1"/>
  <c r="J28" i="18" s="1"/>
  <c r="K28" i="18" s="1"/>
  <c r="L28" i="18" s="1"/>
  <c r="M28" i="18" s="1"/>
  <c r="N28" i="18" s="1"/>
  <c r="O28" i="18" s="1"/>
  <c r="P28" i="18" s="1"/>
  <c r="Q28" i="18" s="1"/>
  <c r="R28" i="18" s="1"/>
  <c r="S28" i="18" s="1"/>
  <c r="T28" i="18" s="1"/>
  <c r="U28" i="18" s="1"/>
  <c r="V28" i="18" s="1"/>
  <c r="W28" i="18" s="1"/>
  <c r="X28" i="18" s="1"/>
  <c r="Y28" i="18" s="1"/>
  <c r="I30" i="18"/>
  <c r="J30" i="18" s="1"/>
  <c r="K30" i="18" s="1"/>
  <c r="L30" i="18" s="1"/>
  <c r="H23" i="18"/>
  <c r="D4" i="18"/>
  <c r="F36" i="6"/>
  <c r="F35" i="6" s="1"/>
  <c r="F58" i="6" s="1"/>
  <c r="L36" i="6"/>
  <c r="I36" i="6"/>
  <c r="H36" i="6"/>
  <c r="K36" i="6"/>
  <c r="J36" i="6"/>
  <c r="C91" i="7"/>
  <c r="B36" i="7"/>
  <c r="C36" i="7"/>
  <c r="D36" i="7"/>
  <c r="E36" i="7"/>
  <c r="K86" i="8"/>
  <c r="L86" i="8" s="1"/>
  <c r="M86" i="8" s="1"/>
  <c r="N86" i="8" s="1"/>
  <c r="H80" i="8"/>
  <c r="G2" i="8"/>
  <c r="H2" i="8" s="1"/>
  <c r="I2" i="8" s="1"/>
  <c r="J2" i="8" s="1"/>
  <c r="K2" i="8" s="1"/>
  <c r="L2" i="8" s="1"/>
  <c r="M2" i="8" s="1"/>
  <c r="N2" i="8" s="1"/>
  <c r="O2" i="8" s="1"/>
  <c r="P2" i="8" s="1"/>
  <c r="Q2" i="8" s="1"/>
  <c r="R2" i="8" s="1"/>
  <c r="S2" i="8" s="1"/>
  <c r="T2" i="8" s="1"/>
  <c r="U2" i="8" s="1"/>
  <c r="V2" i="8" s="1"/>
  <c r="W2" i="8" s="1"/>
  <c r="X2" i="8" s="1"/>
  <c r="Y2" i="8" s="1"/>
  <c r="V40" i="6"/>
  <c r="H37" i="6"/>
  <c r="H32" i="6"/>
  <c r="B29" i="7"/>
  <c r="D53" i="13"/>
  <c r="B19" i="11"/>
  <c r="B35" i="11" s="1"/>
  <c r="B37" i="11" s="1"/>
  <c r="B44" i="11" s="1"/>
  <c r="D50" i="11"/>
  <c r="C50" i="11"/>
  <c r="H34" i="12"/>
  <c r="I34" i="12"/>
  <c r="F34" i="12"/>
  <c r="H26" i="12"/>
  <c r="I26" i="12"/>
  <c r="E26" i="12"/>
  <c r="F26" i="12"/>
  <c r="G26" i="12"/>
  <c r="F16" i="12"/>
  <c r="C16" i="12"/>
  <c r="E16" i="12"/>
  <c r="D16" i="12"/>
  <c r="D11" i="12"/>
  <c r="F11" i="12"/>
  <c r="E11" i="12"/>
  <c r="C11" i="12"/>
  <c r="E35" i="11"/>
  <c r="E37" i="11" s="1"/>
  <c r="E44" i="11" s="1"/>
  <c r="D35" i="11"/>
  <c r="D37" i="11" s="1"/>
  <c r="D44" i="11" s="1"/>
  <c r="C35" i="11"/>
  <c r="C37" i="11" s="1"/>
  <c r="C44" i="11" s="1"/>
  <c r="V48" i="2"/>
  <c r="T40" i="2"/>
  <c r="T22" i="2"/>
  <c r="V13" i="2"/>
  <c r="W13" i="2" s="1"/>
  <c r="X13" i="2" s="1"/>
  <c r="T9" i="2"/>
  <c r="U8" i="2"/>
  <c r="V5" i="3"/>
  <c r="Z5" i="3" s="1"/>
  <c r="AD5" i="3" s="1"/>
  <c r="AH5" i="3" s="1"/>
  <c r="AL5" i="3" s="1"/>
  <c r="Y5" i="3"/>
  <c r="AC5" i="3" s="1"/>
  <c r="AG5" i="3" s="1"/>
  <c r="AK5" i="3" s="1"/>
  <c r="X5" i="3"/>
  <c r="AB5" i="3" s="1"/>
  <c r="AF5" i="3" s="1"/>
  <c r="AJ5" i="3" s="1"/>
  <c r="D30" i="10"/>
  <c r="E5" i="10"/>
  <c r="B138" i="8"/>
  <c r="B139" i="8" s="1"/>
  <c r="C90" i="7"/>
  <c r="D138" i="8"/>
  <c r="D139" i="8" s="1"/>
  <c r="D90" i="7"/>
  <c r="E137" i="8"/>
  <c r="E138" i="8"/>
  <c r="E139" i="8" s="1"/>
  <c r="C137" i="8"/>
  <c r="C138" i="8"/>
  <c r="C139" i="8" s="1"/>
  <c r="B72" i="7"/>
  <c r="B90" i="7"/>
  <c r="B91" i="7"/>
  <c r="D91" i="7"/>
  <c r="B70" i="7"/>
  <c r="E91" i="7"/>
  <c r="F132" i="8"/>
  <c r="G132" i="8" s="1"/>
  <c r="H132" i="8" s="1"/>
  <c r="I132" i="8" s="1"/>
  <c r="J132" i="8" s="1"/>
  <c r="K132" i="8" s="1"/>
  <c r="L132" i="8" s="1"/>
  <c r="M132" i="8" s="1"/>
  <c r="N132" i="8" s="1"/>
  <c r="O132" i="8" s="1"/>
  <c r="P132" i="8" s="1"/>
  <c r="Q132" i="8" s="1"/>
  <c r="R132" i="8" s="1"/>
  <c r="S132" i="8" s="1"/>
  <c r="T132" i="8" s="1"/>
  <c r="U132" i="8" s="1"/>
  <c r="V132" i="8" s="1"/>
  <c r="W132" i="8" s="1"/>
  <c r="X132" i="8" s="1"/>
  <c r="Y132" i="8" s="1"/>
  <c r="F96" i="7"/>
  <c r="B7" i="8"/>
  <c r="E90" i="7"/>
  <c r="C72" i="7"/>
  <c r="C70" i="7"/>
  <c r="F67" i="8"/>
  <c r="F120" i="8" s="1"/>
  <c r="G64" i="8"/>
  <c r="J71" i="8"/>
  <c r="I52" i="8"/>
  <c r="J52" i="8" s="1"/>
  <c r="K52" i="8" s="1"/>
  <c r="I34" i="8"/>
  <c r="K37" i="8"/>
  <c r="L37" i="8" s="1"/>
  <c r="M37" i="8" s="1"/>
  <c r="L18" i="8"/>
  <c r="M18" i="8" s="1"/>
  <c r="N18" i="8" s="1"/>
  <c r="O18" i="8" s="1"/>
  <c r="H32" i="8"/>
  <c r="I32" i="8" s="1"/>
  <c r="J32" i="8" s="1"/>
  <c r="K32" i="8" s="1"/>
  <c r="L32" i="8" s="1"/>
  <c r="M32" i="8" s="1"/>
  <c r="N32" i="8" s="1"/>
  <c r="O32" i="8" s="1"/>
  <c r="P32" i="8" s="1"/>
  <c r="Q32" i="8" s="1"/>
  <c r="R32" i="8" s="1"/>
  <c r="S32" i="8" s="1"/>
  <c r="T32" i="8" s="1"/>
  <c r="U32" i="8" s="1"/>
  <c r="V32" i="8" s="1"/>
  <c r="W32" i="8" s="1"/>
  <c r="X32" i="8" s="1"/>
  <c r="Y32" i="8" s="1"/>
  <c r="M15" i="8"/>
  <c r="N15" i="8" s="1"/>
  <c r="O15" i="8" s="1"/>
  <c r="D4" i="8"/>
  <c r="D70" i="7"/>
  <c r="E70" i="7"/>
  <c r="D72" i="7"/>
  <c r="E72" i="7"/>
  <c r="I67" i="7"/>
  <c r="B63" i="7"/>
  <c r="H63" i="7"/>
  <c r="E47" i="7"/>
  <c r="D47" i="7"/>
  <c r="D9" i="18" s="1"/>
  <c r="C47" i="7"/>
  <c r="C9" i="18" s="1"/>
  <c r="B47" i="7"/>
  <c r="B9" i="18" s="1"/>
  <c r="L34" i="7"/>
  <c r="M34" i="7" s="1"/>
  <c r="N34" i="7" s="1"/>
  <c r="B38" i="7"/>
  <c r="G38" i="7"/>
  <c r="E40" i="7"/>
  <c r="D40" i="7"/>
  <c r="C40" i="7"/>
  <c r="B40" i="7"/>
  <c r="D43" i="7"/>
  <c r="C43" i="7"/>
  <c r="B43" i="7"/>
  <c r="E43" i="7"/>
  <c r="H11" i="7"/>
  <c r="C26" i="10" l="1"/>
  <c r="C29" i="10" s="1"/>
  <c r="C31" i="10" s="1"/>
  <c r="D28" i="10"/>
  <c r="C9" i="10"/>
  <c r="D15" i="10"/>
  <c r="C15" i="10"/>
  <c r="C38" i="10"/>
  <c r="C39" i="10" s="1"/>
  <c r="C27" i="10"/>
  <c r="D27" i="10"/>
  <c r="D24" i="10"/>
  <c r="D9" i="10"/>
  <c r="D11" i="10" s="1"/>
  <c r="C10" i="10"/>
  <c r="D14" i="10"/>
  <c r="D16" i="10"/>
  <c r="D18" i="10"/>
  <c r="C14" i="10"/>
  <c r="D17" i="10"/>
  <c r="D26" i="10"/>
  <c r="C18" i="10"/>
  <c r="C19" i="10" s="1"/>
  <c r="D38" i="10"/>
  <c r="D39" i="10" s="1"/>
  <c r="D10" i="10"/>
  <c r="C16" i="10"/>
  <c r="C11" i="10"/>
  <c r="D29" i="10"/>
  <c r="D31" i="10" s="1"/>
  <c r="Y5" i="1"/>
  <c r="AC5" i="1" s="1"/>
  <c r="AG5" i="1" s="1"/>
  <c r="AK5" i="1" s="1"/>
  <c r="F49" i="11"/>
  <c r="E9" i="8"/>
  <c r="E9" i="18"/>
  <c r="F38" i="6"/>
  <c r="F39" i="6" s="1"/>
  <c r="F41" i="6" s="1"/>
  <c r="F53" i="6" s="1"/>
  <c r="F8" i="7" s="1"/>
  <c r="G35" i="6"/>
  <c r="G52" i="6" s="1"/>
  <c r="M30" i="18"/>
  <c r="I23" i="18"/>
  <c r="H4" i="18"/>
  <c r="L4" i="18" s="1"/>
  <c r="P4" i="18" s="1"/>
  <c r="T4" i="18" s="1"/>
  <c r="X4" i="18" s="1"/>
  <c r="E4" i="18"/>
  <c r="I4" i="18" s="1"/>
  <c r="M4" i="18" s="1"/>
  <c r="Q4" i="18" s="1"/>
  <c r="U4" i="18" s="1"/>
  <c r="Y4" i="18" s="1"/>
  <c r="F85" i="8"/>
  <c r="F87" i="8" s="1"/>
  <c r="F89" i="8" s="1"/>
  <c r="F123" i="8" s="1"/>
  <c r="F52" i="6"/>
  <c r="F91" i="7"/>
  <c r="G91" i="7" s="1"/>
  <c r="H91" i="7" s="1"/>
  <c r="I80" i="8"/>
  <c r="O86" i="8"/>
  <c r="B41" i="13"/>
  <c r="W40" i="6"/>
  <c r="I32" i="6"/>
  <c r="I37" i="6"/>
  <c r="E53" i="13"/>
  <c r="D18" i="12"/>
  <c r="D36" i="12" s="1"/>
  <c r="D19" i="10"/>
  <c r="F18" i="12"/>
  <c r="F36" i="12" s="1"/>
  <c r="C18" i="12"/>
  <c r="C36" i="12" s="1"/>
  <c r="E18" i="12"/>
  <c r="E36" i="12" s="1"/>
  <c r="W48" i="2"/>
  <c r="T42" i="2"/>
  <c r="U40" i="2"/>
  <c r="T33" i="2"/>
  <c r="U22" i="2"/>
  <c r="Y13" i="2"/>
  <c r="U9" i="2"/>
  <c r="V8" i="2"/>
  <c r="E28" i="10"/>
  <c r="E14" i="10"/>
  <c r="E10" i="10"/>
  <c r="E27" i="10"/>
  <c r="E24" i="10"/>
  <c r="E18" i="10"/>
  <c r="E8" i="10"/>
  <c r="E26" i="10"/>
  <c r="E9" i="10"/>
  <c r="E17" i="10"/>
  <c r="E38" i="10"/>
  <c r="E39" i="10" s="1"/>
  <c r="E16" i="10"/>
  <c r="E30" i="10"/>
  <c r="E15" i="10"/>
  <c r="F5" i="10"/>
  <c r="F137" i="8"/>
  <c r="G137" i="8" s="1"/>
  <c r="H137" i="8" s="1"/>
  <c r="I137" i="8" s="1"/>
  <c r="J137" i="8" s="1"/>
  <c r="K137" i="8" s="1"/>
  <c r="L137" i="8" s="1"/>
  <c r="M137" i="8" s="1"/>
  <c r="N137" i="8" s="1"/>
  <c r="O137" i="8" s="1"/>
  <c r="P137" i="8" s="1"/>
  <c r="Q137" i="8" s="1"/>
  <c r="R137" i="8" s="1"/>
  <c r="S137" i="8" s="1"/>
  <c r="T137" i="8" s="1"/>
  <c r="U137" i="8" s="1"/>
  <c r="V137" i="8" s="1"/>
  <c r="W137" i="8" s="1"/>
  <c r="X137" i="8" s="1"/>
  <c r="Y137" i="8" s="1"/>
  <c r="F139" i="8"/>
  <c r="G139" i="8" s="1"/>
  <c r="H139" i="8" s="1"/>
  <c r="I139" i="8" s="1"/>
  <c r="J139" i="8" s="1"/>
  <c r="K139" i="8" s="1"/>
  <c r="L139" i="8" s="1"/>
  <c r="M139" i="8" s="1"/>
  <c r="N139" i="8" s="1"/>
  <c r="O139" i="8" s="1"/>
  <c r="P139" i="8" s="1"/>
  <c r="Q139" i="8" s="1"/>
  <c r="R139" i="8" s="1"/>
  <c r="S139" i="8" s="1"/>
  <c r="T139" i="8" s="1"/>
  <c r="U139" i="8" s="1"/>
  <c r="V139" i="8" s="1"/>
  <c r="W139" i="8" s="1"/>
  <c r="X139" i="8" s="1"/>
  <c r="Y139" i="8" s="1"/>
  <c r="C49" i="7"/>
  <c r="C74" i="7" s="1"/>
  <c r="C9" i="8"/>
  <c r="D49" i="7"/>
  <c r="D74" i="7" s="1"/>
  <c r="D9" i="8"/>
  <c r="B49" i="7"/>
  <c r="B74" i="7" s="1"/>
  <c r="B82" i="7" s="1"/>
  <c r="B86" i="7" s="1"/>
  <c r="B9" i="8"/>
  <c r="G66" i="8"/>
  <c r="G109" i="8" s="1"/>
  <c r="H64" i="8"/>
  <c r="G67" i="8"/>
  <c r="G120" i="8" s="1"/>
  <c r="K71" i="8"/>
  <c r="L71" i="8" s="1"/>
  <c r="L52" i="8"/>
  <c r="J34" i="8"/>
  <c r="N37" i="8"/>
  <c r="P18" i="8"/>
  <c r="E4" i="8"/>
  <c r="I4" i="8" s="1"/>
  <c r="M4" i="8" s="1"/>
  <c r="Q4" i="8" s="1"/>
  <c r="U4" i="8" s="1"/>
  <c r="Y4" i="8" s="1"/>
  <c r="H4" i="8"/>
  <c r="L4" i="8" s="1"/>
  <c r="P4" i="8" s="1"/>
  <c r="T4" i="8" s="1"/>
  <c r="X4" i="8" s="1"/>
  <c r="J17" i="8"/>
  <c r="P15" i="8"/>
  <c r="J67" i="7"/>
  <c r="I63" i="7"/>
  <c r="E45" i="7"/>
  <c r="E49" i="7"/>
  <c r="E74" i="7" s="1"/>
  <c r="H38" i="7"/>
  <c r="J39" i="7"/>
  <c r="J40" i="7" s="1"/>
  <c r="O34" i="7"/>
  <c r="D46" i="7"/>
  <c r="D45" i="7"/>
  <c r="C46" i="7"/>
  <c r="C45" i="7"/>
  <c r="B46" i="7"/>
  <c r="B45" i="7"/>
  <c r="E46" i="7"/>
  <c r="I11" i="7"/>
  <c r="C21" i="10" l="1"/>
  <c r="C33" i="10" s="1"/>
  <c r="C35" i="10" s="1"/>
  <c r="C41" i="10" s="1"/>
  <c r="D21" i="10"/>
  <c r="D33" i="10" s="1"/>
  <c r="D35" i="10" s="1"/>
  <c r="D41" i="10" s="1"/>
  <c r="H35" i="6"/>
  <c r="H52" i="6" s="1"/>
  <c r="G85" i="8"/>
  <c r="G88" i="8" s="1"/>
  <c r="G112" i="8" s="1"/>
  <c r="G58" i="6"/>
  <c r="G49" i="11"/>
  <c r="F101" i="8"/>
  <c r="G38" i="6"/>
  <c r="G39" i="6" s="1"/>
  <c r="G41" i="6" s="1"/>
  <c r="G53" i="6" s="1"/>
  <c r="G8" i="7" s="1"/>
  <c r="I99" i="7" s="1"/>
  <c r="N30" i="18"/>
  <c r="J23" i="18"/>
  <c r="F88" i="8"/>
  <c r="F112" i="8" s="1"/>
  <c r="I100" i="7"/>
  <c r="I18" i="7" s="1"/>
  <c r="C25" i="13" s="1"/>
  <c r="C45" i="13" s="1"/>
  <c r="H99" i="7"/>
  <c r="J101" i="7"/>
  <c r="P86" i="8"/>
  <c r="J80" i="8"/>
  <c r="F48" i="6"/>
  <c r="F57" i="7" s="1"/>
  <c r="F49" i="6"/>
  <c r="F64" i="7" s="1"/>
  <c r="S17" i="1" s="1"/>
  <c r="F56" i="6"/>
  <c r="X40" i="6"/>
  <c r="J37" i="6"/>
  <c r="J32" i="6"/>
  <c r="F53" i="13"/>
  <c r="E11" i="10"/>
  <c r="X48" i="2"/>
  <c r="U42" i="2"/>
  <c r="V40" i="2"/>
  <c r="U33" i="2"/>
  <c r="V22" i="2"/>
  <c r="Z13" i="2"/>
  <c r="W8" i="2"/>
  <c r="V9" i="2"/>
  <c r="E29" i="10"/>
  <c r="E31" i="10" s="1"/>
  <c r="F27" i="10"/>
  <c r="B51" i="13" s="1"/>
  <c r="F26" i="10"/>
  <c r="F18" i="10"/>
  <c r="F24" i="10"/>
  <c r="B36" i="13" s="1"/>
  <c r="F17" i="10"/>
  <c r="F38" i="10"/>
  <c r="F39" i="10" s="1"/>
  <c r="F16" i="10"/>
  <c r="F8" i="10"/>
  <c r="B29" i="13" s="1"/>
  <c r="F9" i="10"/>
  <c r="B30" i="13" s="1"/>
  <c r="F10" i="10"/>
  <c r="F30" i="10"/>
  <c r="F15" i="10"/>
  <c r="F28" i="10"/>
  <c r="F14" i="10"/>
  <c r="E19" i="10"/>
  <c r="G5" i="10"/>
  <c r="I91" i="7"/>
  <c r="I64" i="8"/>
  <c r="H66" i="8"/>
  <c r="H109" i="8" s="1"/>
  <c r="H67" i="8"/>
  <c r="H120" i="8" s="1"/>
  <c r="M52" i="8"/>
  <c r="K34" i="8"/>
  <c r="O37" i="8"/>
  <c r="Q18" i="8"/>
  <c r="Q15" i="8"/>
  <c r="K17" i="8"/>
  <c r="K67" i="7"/>
  <c r="J63" i="7"/>
  <c r="I38" i="7"/>
  <c r="K39" i="7"/>
  <c r="K40" i="7" s="1"/>
  <c r="P34" i="7"/>
  <c r="J11" i="7"/>
  <c r="H38" i="6" l="1"/>
  <c r="H39" i="6" s="1"/>
  <c r="H41" i="6" s="1"/>
  <c r="H58" i="6"/>
  <c r="H85" i="8"/>
  <c r="H101" i="8" s="1"/>
  <c r="G87" i="8"/>
  <c r="G89" i="8" s="1"/>
  <c r="G123" i="8" s="1"/>
  <c r="I35" i="6"/>
  <c r="I85" i="8" s="1"/>
  <c r="G101" i="8"/>
  <c r="G49" i="6"/>
  <c r="G64" i="7" s="1"/>
  <c r="T17" i="1" s="1"/>
  <c r="G48" i="6"/>
  <c r="G57" i="7" s="1"/>
  <c r="K101" i="7"/>
  <c r="J100" i="7"/>
  <c r="J18" i="7" s="1"/>
  <c r="G56" i="6"/>
  <c r="G57" i="6" s="1"/>
  <c r="G59" i="6" s="1"/>
  <c r="H49" i="11"/>
  <c r="O30" i="18"/>
  <c r="K23" i="18"/>
  <c r="F57" i="6"/>
  <c r="F59" i="6" s="1"/>
  <c r="F51" i="6"/>
  <c r="F79" i="8" s="1"/>
  <c r="K80" i="8"/>
  <c r="Q86" i="8"/>
  <c r="Y40" i="6"/>
  <c r="K32" i="6"/>
  <c r="K37" i="6"/>
  <c r="G53" i="13"/>
  <c r="E21" i="10"/>
  <c r="E33" i="10" s="1"/>
  <c r="E35" i="10" s="1"/>
  <c r="E41" i="10" s="1"/>
  <c r="F19" i="10"/>
  <c r="F11" i="10"/>
  <c r="B31" i="13" s="1"/>
  <c r="B48" i="13" s="1"/>
  <c r="Y48" i="2"/>
  <c r="W40" i="2"/>
  <c r="V42" i="2"/>
  <c r="W22" i="2"/>
  <c r="V33" i="2"/>
  <c r="AA13" i="2"/>
  <c r="X8" i="2"/>
  <c r="W9" i="2"/>
  <c r="G38" i="10"/>
  <c r="G39" i="10" s="1"/>
  <c r="G14" i="10"/>
  <c r="G10" i="10"/>
  <c r="F29" i="10"/>
  <c r="F31" i="10" s="1"/>
  <c r="B37" i="13" s="1"/>
  <c r="H5" i="10"/>
  <c r="J91" i="7"/>
  <c r="K91" i="7" s="1"/>
  <c r="L91" i="7" s="1"/>
  <c r="J64" i="8"/>
  <c r="I66" i="8"/>
  <c r="I109" i="8" s="1"/>
  <c r="I67" i="8"/>
  <c r="I120" i="8" s="1"/>
  <c r="M71" i="8"/>
  <c r="N52" i="8"/>
  <c r="L34" i="8"/>
  <c r="P37" i="8"/>
  <c r="R18" i="8"/>
  <c r="L17" i="8"/>
  <c r="R15" i="8"/>
  <c r="L67" i="7"/>
  <c r="K63" i="7"/>
  <c r="J38" i="7"/>
  <c r="L39" i="7"/>
  <c r="L40" i="7" s="1"/>
  <c r="Q34" i="7"/>
  <c r="K11" i="7"/>
  <c r="H87" i="8" l="1"/>
  <c r="H89" i="8" s="1"/>
  <c r="H123" i="8" s="1"/>
  <c r="H88" i="8"/>
  <c r="H112" i="8" s="1"/>
  <c r="H53" i="6"/>
  <c r="H8" i="7" s="1"/>
  <c r="H49" i="6"/>
  <c r="H64" i="7" s="1"/>
  <c r="U17" i="1" s="1"/>
  <c r="H56" i="6"/>
  <c r="I58" i="6"/>
  <c r="I38" i="6"/>
  <c r="I39" i="6" s="1"/>
  <c r="I41" i="6" s="1"/>
  <c r="I53" i="6" s="1"/>
  <c r="I8" i="7" s="1"/>
  <c r="K99" i="7" s="1"/>
  <c r="J35" i="6"/>
  <c r="J58" i="6" s="1"/>
  <c r="I52" i="6"/>
  <c r="H48" i="6"/>
  <c r="H57" i="7" s="1"/>
  <c r="G51" i="6"/>
  <c r="G79" i="8" s="1"/>
  <c r="G82" i="8" s="1"/>
  <c r="G111" i="8" s="1"/>
  <c r="J49" i="11"/>
  <c r="I49" i="11"/>
  <c r="P30" i="18"/>
  <c r="L23" i="18"/>
  <c r="F60" i="6"/>
  <c r="G60" i="6"/>
  <c r="I101" i="8"/>
  <c r="I87" i="8"/>
  <c r="I89" i="8" s="1"/>
  <c r="I123" i="8" s="1"/>
  <c r="I88" i="8"/>
  <c r="I112" i="8" s="1"/>
  <c r="F82" i="8"/>
  <c r="F111" i="8" s="1"/>
  <c r="F81" i="8"/>
  <c r="F83" i="8" s="1"/>
  <c r="F122" i="8" s="1"/>
  <c r="F100" i="8"/>
  <c r="H57" i="6"/>
  <c r="H59" i="6" s="1"/>
  <c r="H51" i="6"/>
  <c r="H79" i="8" s="1"/>
  <c r="R86" i="8"/>
  <c r="L80" i="8"/>
  <c r="L37" i="6"/>
  <c r="L32" i="6"/>
  <c r="F21" i="10"/>
  <c r="B33" i="13" s="1"/>
  <c r="Z48" i="2"/>
  <c r="X40" i="2"/>
  <c r="W42" i="2"/>
  <c r="W33" i="2"/>
  <c r="X22" i="2"/>
  <c r="AB13" i="2"/>
  <c r="Y8" i="2"/>
  <c r="X9" i="2"/>
  <c r="H38" i="10"/>
  <c r="H39" i="10" s="1"/>
  <c r="H14" i="10"/>
  <c r="H10" i="10"/>
  <c r="I5" i="10"/>
  <c r="M91" i="7"/>
  <c r="N91" i="7" s="1"/>
  <c r="O91" i="7" s="1"/>
  <c r="K64" i="8"/>
  <c r="J66" i="8"/>
  <c r="J109" i="8" s="1"/>
  <c r="J67" i="8"/>
  <c r="J120" i="8" s="1"/>
  <c r="N71" i="8"/>
  <c r="O52" i="8"/>
  <c r="M34" i="8"/>
  <c r="Q37" i="8"/>
  <c r="S18" i="8"/>
  <c r="M17" i="8"/>
  <c r="S15" i="8"/>
  <c r="M67" i="7"/>
  <c r="L63" i="7"/>
  <c r="K38" i="7"/>
  <c r="M39" i="7"/>
  <c r="M40" i="7" s="1"/>
  <c r="R34" i="7"/>
  <c r="L11" i="7"/>
  <c r="G81" i="8" l="1"/>
  <c r="G83" i="8" s="1"/>
  <c r="G122" i="8" s="1"/>
  <c r="G100" i="8"/>
  <c r="I49" i="6"/>
  <c r="I64" i="7" s="1"/>
  <c r="V17" i="1" s="1"/>
  <c r="G17" i="10" s="1"/>
  <c r="I56" i="6"/>
  <c r="I57" i="6" s="1"/>
  <c r="I59" i="6" s="1"/>
  <c r="M101" i="7"/>
  <c r="J99" i="7"/>
  <c r="L101" i="7"/>
  <c r="K100" i="7"/>
  <c r="K18" i="7" s="1"/>
  <c r="I48" i="6"/>
  <c r="I57" i="7" s="1"/>
  <c r="K35" i="6"/>
  <c r="K85" i="8" s="1"/>
  <c r="J38" i="6"/>
  <c r="J39" i="6" s="1"/>
  <c r="J41" i="6" s="1"/>
  <c r="J53" i="6" s="1"/>
  <c r="J8" i="7" s="1"/>
  <c r="N101" i="7" s="1"/>
  <c r="J52" i="6"/>
  <c r="J85" i="8"/>
  <c r="J87" i="8" s="1"/>
  <c r="J89" i="8" s="1"/>
  <c r="J123" i="8" s="1"/>
  <c r="L100" i="7"/>
  <c r="L18" i="7" s="1"/>
  <c r="Q30" i="18"/>
  <c r="M23" i="18"/>
  <c r="H100" i="8"/>
  <c r="H81" i="8"/>
  <c r="H83" i="8" s="1"/>
  <c r="H122" i="8" s="1"/>
  <c r="H82" i="8"/>
  <c r="H111" i="8" s="1"/>
  <c r="I51" i="6"/>
  <c r="I79" i="8" s="1"/>
  <c r="H60" i="6"/>
  <c r="M80" i="8"/>
  <c r="S86" i="8"/>
  <c r="M32" i="6"/>
  <c r="M37" i="6"/>
  <c r="B34" i="13"/>
  <c r="B49" i="13"/>
  <c r="F33" i="10"/>
  <c r="F35" i="10" s="1"/>
  <c r="B38" i="13" s="1"/>
  <c r="AA48" i="2"/>
  <c r="Y40" i="2"/>
  <c r="X42" i="2"/>
  <c r="X33" i="2"/>
  <c r="Y22" i="2"/>
  <c r="AC13" i="2"/>
  <c r="Y9" i="2"/>
  <c r="Z8" i="2"/>
  <c r="I10" i="10"/>
  <c r="I14" i="10"/>
  <c r="I38" i="10"/>
  <c r="I39" i="10" s="1"/>
  <c r="J5" i="10"/>
  <c r="P91" i="7"/>
  <c r="Q91" i="7" s="1"/>
  <c r="L64" i="8"/>
  <c r="K66" i="8"/>
  <c r="K109" i="8" s="1"/>
  <c r="K67" i="8"/>
  <c r="K120" i="8" s="1"/>
  <c r="O71" i="8"/>
  <c r="P52" i="8"/>
  <c r="N34" i="8"/>
  <c r="R37" i="8"/>
  <c r="T18" i="8"/>
  <c r="N17" i="8"/>
  <c r="M26" i="8"/>
  <c r="M117" i="8" s="1"/>
  <c r="T15" i="8"/>
  <c r="N67" i="7"/>
  <c r="M63" i="7"/>
  <c r="N39" i="7"/>
  <c r="N40" i="7" s="1"/>
  <c r="L38" i="7"/>
  <c r="S34" i="7"/>
  <c r="M11" i="7"/>
  <c r="E7" i="7"/>
  <c r="D7" i="7"/>
  <c r="C7" i="7"/>
  <c r="C7" i="18" s="1"/>
  <c r="F4" i="7"/>
  <c r="J4" i="7" s="1"/>
  <c r="N4" i="7" s="1"/>
  <c r="R4" i="7" s="1"/>
  <c r="V4" i="7" s="1"/>
  <c r="C4" i="7"/>
  <c r="D4" i="7" s="1"/>
  <c r="I3" i="7"/>
  <c r="M3" i="7" s="1"/>
  <c r="Q3" i="7" s="1"/>
  <c r="U3" i="7" s="1"/>
  <c r="Y3" i="7" s="1"/>
  <c r="H3" i="7"/>
  <c r="L3" i="7" s="1"/>
  <c r="P3" i="7" s="1"/>
  <c r="T3" i="7" s="1"/>
  <c r="X3" i="7" s="1"/>
  <c r="G3" i="7"/>
  <c r="K3" i="7" s="1"/>
  <c r="O3" i="7" s="1"/>
  <c r="S3" i="7" s="1"/>
  <c r="W3" i="7" s="1"/>
  <c r="F3" i="7"/>
  <c r="I15" i="6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H13" i="6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Y13" i="6" s="1"/>
  <c r="K10" i="6"/>
  <c r="L10" i="6" s="1"/>
  <c r="M10" i="6" s="1"/>
  <c r="N10" i="6" s="1"/>
  <c r="O10" i="6" s="1"/>
  <c r="P10" i="6" s="1"/>
  <c r="Q10" i="6" s="1"/>
  <c r="C14" i="6"/>
  <c r="D14" i="6"/>
  <c r="E14" i="6"/>
  <c r="C9" i="6"/>
  <c r="D9" i="6"/>
  <c r="D11" i="6" s="1"/>
  <c r="E9" i="6"/>
  <c r="F10" i="6" s="1"/>
  <c r="K38" i="6" l="1"/>
  <c r="K39" i="6" s="1"/>
  <c r="K41" i="6" s="1"/>
  <c r="L35" i="6"/>
  <c r="L38" i="6" s="1"/>
  <c r="M100" i="7"/>
  <c r="M18" i="7" s="1"/>
  <c r="K52" i="6"/>
  <c r="K58" i="6"/>
  <c r="J101" i="8"/>
  <c r="J88" i="8"/>
  <c r="J112" i="8" s="1"/>
  <c r="J49" i="6"/>
  <c r="J64" i="7" s="1"/>
  <c r="W17" i="1" s="1"/>
  <c r="L99" i="7"/>
  <c r="J56" i="6"/>
  <c r="J57" i="6" s="1"/>
  <c r="J59" i="6" s="1"/>
  <c r="J48" i="6"/>
  <c r="J57" i="7" s="1"/>
  <c r="B26" i="13"/>
  <c r="B20" i="13"/>
  <c r="D9" i="7"/>
  <c r="D7" i="18"/>
  <c r="E9" i="7"/>
  <c r="E7" i="18"/>
  <c r="R30" i="18"/>
  <c r="N23" i="18"/>
  <c r="M36" i="6"/>
  <c r="C9" i="7"/>
  <c r="B19" i="13"/>
  <c r="G25" i="6"/>
  <c r="G19" i="7" s="1"/>
  <c r="K101" i="8"/>
  <c r="K87" i="8"/>
  <c r="K89" i="8" s="1"/>
  <c r="K123" i="8" s="1"/>
  <c r="K88" i="8"/>
  <c r="K112" i="8" s="1"/>
  <c r="I81" i="8"/>
  <c r="I83" i="8" s="1"/>
  <c r="I122" i="8" s="1"/>
  <c r="I100" i="8"/>
  <c r="I82" i="8"/>
  <c r="I111" i="8" s="1"/>
  <c r="I60" i="6"/>
  <c r="J3" i="7"/>
  <c r="N3" i="7" s="1"/>
  <c r="R3" i="7" s="1"/>
  <c r="V3" i="7" s="1"/>
  <c r="T86" i="8"/>
  <c r="N80" i="8"/>
  <c r="N37" i="6"/>
  <c r="N32" i="6"/>
  <c r="N36" i="6" s="1"/>
  <c r="C15" i="6"/>
  <c r="C29" i="7"/>
  <c r="E15" i="6"/>
  <c r="E29" i="7"/>
  <c r="D15" i="6"/>
  <c r="D29" i="7"/>
  <c r="B50" i="13"/>
  <c r="B39" i="13"/>
  <c r="F41" i="10"/>
  <c r="AB48" i="2"/>
  <c r="Y42" i="2"/>
  <c r="Z40" i="2"/>
  <c r="Y33" i="2"/>
  <c r="Z22" i="2"/>
  <c r="AD13" i="2"/>
  <c r="Z9" i="2"/>
  <c r="AA8" i="2"/>
  <c r="J38" i="10"/>
  <c r="J39" i="10" s="1"/>
  <c r="J10" i="10"/>
  <c r="J14" i="10"/>
  <c r="K5" i="10"/>
  <c r="E11" i="6"/>
  <c r="E76" i="7"/>
  <c r="E82" i="7" s="1"/>
  <c r="E86" i="7" s="1"/>
  <c r="D10" i="6"/>
  <c r="D76" i="7"/>
  <c r="D82" i="7" s="1"/>
  <c r="D86" i="7" s="1"/>
  <c r="C11" i="6"/>
  <c r="C76" i="7"/>
  <c r="C82" i="7" s="1"/>
  <c r="C86" i="7" s="1"/>
  <c r="C10" i="6"/>
  <c r="R91" i="7"/>
  <c r="S91" i="7" s="1"/>
  <c r="C63" i="7"/>
  <c r="C7" i="8"/>
  <c r="D63" i="7"/>
  <c r="D7" i="8"/>
  <c r="E63" i="7"/>
  <c r="E7" i="8"/>
  <c r="M64" i="8"/>
  <c r="L66" i="8"/>
  <c r="L109" i="8" s="1"/>
  <c r="L67" i="8"/>
  <c r="L120" i="8" s="1"/>
  <c r="P71" i="8"/>
  <c r="Q52" i="8"/>
  <c r="O34" i="8"/>
  <c r="S37" i="8"/>
  <c r="U18" i="8"/>
  <c r="U15" i="8"/>
  <c r="O17" i="8"/>
  <c r="O67" i="7"/>
  <c r="N63" i="7"/>
  <c r="G43" i="7"/>
  <c r="G34" i="7"/>
  <c r="D38" i="7"/>
  <c r="G39" i="7" s="1"/>
  <c r="O39" i="7"/>
  <c r="O40" i="7" s="1"/>
  <c r="M38" i="7"/>
  <c r="F43" i="7"/>
  <c r="C38" i="7"/>
  <c r="F39" i="7" s="1"/>
  <c r="F34" i="7"/>
  <c r="H43" i="7"/>
  <c r="H34" i="7"/>
  <c r="E38" i="7"/>
  <c r="H39" i="7" s="1"/>
  <c r="T34" i="7"/>
  <c r="G95" i="7"/>
  <c r="G17" i="7" s="1"/>
  <c r="F94" i="7"/>
  <c r="H96" i="7"/>
  <c r="I96" i="7"/>
  <c r="H95" i="7"/>
  <c r="H17" i="7" s="1"/>
  <c r="G94" i="7"/>
  <c r="N11" i="7"/>
  <c r="G4" i="7"/>
  <c r="K4" i="7" s="1"/>
  <c r="O4" i="7" s="1"/>
  <c r="S4" i="7" s="1"/>
  <c r="W4" i="7" s="1"/>
  <c r="G21" i="6"/>
  <c r="G22" i="6" s="1"/>
  <c r="F11" i="6"/>
  <c r="E4" i="7"/>
  <c r="I4" i="7" s="1"/>
  <c r="M4" i="7" s="1"/>
  <c r="Q4" i="7" s="1"/>
  <c r="U4" i="7" s="1"/>
  <c r="Y4" i="7" s="1"/>
  <c r="H4" i="7"/>
  <c r="L4" i="7" s="1"/>
  <c r="P4" i="7" s="1"/>
  <c r="T4" i="7" s="1"/>
  <c r="X4" i="7" s="1"/>
  <c r="R10" i="6"/>
  <c r="S10" i="6" s="1"/>
  <c r="T10" i="6" s="1"/>
  <c r="U10" i="6" s="1"/>
  <c r="V10" i="6" s="1"/>
  <c r="W10" i="6" s="1"/>
  <c r="X10" i="6" s="1"/>
  <c r="Y10" i="6" s="1"/>
  <c r="F76" i="7"/>
  <c r="E10" i="6"/>
  <c r="G3" i="6"/>
  <c r="K3" i="6" s="1"/>
  <c r="O3" i="6" s="1"/>
  <c r="S3" i="6" s="1"/>
  <c r="W3" i="6" s="1"/>
  <c r="H3" i="6"/>
  <c r="L3" i="6" s="1"/>
  <c r="P3" i="6" s="1"/>
  <c r="T3" i="6" s="1"/>
  <c r="X3" i="6" s="1"/>
  <c r="I3" i="6"/>
  <c r="M3" i="6" s="1"/>
  <c r="Q3" i="6" s="1"/>
  <c r="U3" i="6" s="1"/>
  <c r="Y3" i="6" s="1"/>
  <c r="F4" i="6"/>
  <c r="J4" i="6" s="1"/>
  <c r="N4" i="6" s="1"/>
  <c r="R4" i="6" s="1"/>
  <c r="V4" i="6" s="1"/>
  <c r="F3" i="6"/>
  <c r="J3" i="6" s="1"/>
  <c r="N3" i="6" s="1"/>
  <c r="R3" i="6" s="1"/>
  <c r="V3" i="6" s="1"/>
  <c r="C4" i="6"/>
  <c r="D4" i="6" s="1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C16" i="3"/>
  <c r="C18" i="3" s="1"/>
  <c r="C36" i="3" s="1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C33" i="3"/>
  <c r="C34" i="3" s="1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D34" i="3"/>
  <c r="E34" i="3"/>
  <c r="F34" i="3"/>
  <c r="G34" i="3"/>
  <c r="H34" i="3"/>
  <c r="H36" i="3" s="1"/>
  <c r="I34" i="3"/>
  <c r="J34" i="3"/>
  <c r="K34" i="3"/>
  <c r="L34" i="3"/>
  <c r="M34" i="3"/>
  <c r="N34" i="3"/>
  <c r="O34" i="3"/>
  <c r="P34" i="3"/>
  <c r="Q34" i="3"/>
  <c r="R34" i="3"/>
  <c r="D36" i="3"/>
  <c r="E36" i="3"/>
  <c r="F36" i="3"/>
  <c r="G36" i="3"/>
  <c r="I36" i="3"/>
  <c r="J36" i="3"/>
  <c r="K36" i="3"/>
  <c r="L36" i="3"/>
  <c r="M36" i="3"/>
  <c r="N36" i="3"/>
  <c r="O36" i="3"/>
  <c r="P36" i="3"/>
  <c r="Q36" i="3"/>
  <c r="R36" i="3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B33" i="2"/>
  <c r="C33" i="2"/>
  <c r="D33" i="2"/>
  <c r="E33" i="2"/>
  <c r="F33" i="2"/>
  <c r="G33" i="2"/>
  <c r="H33" i="2"/>
  <c r="H35" i="2" s="1"/>
  <c r="H37" i="2" s="1"/>
  <c r="H44" i="2" s="1"/>
  <c r="I33" i="2"/>
  <c r="J33" i="2"/>
  <c r="K33" i="2"/>
  <c r="L33" i="2"/>
  <c r="M33" i="2"/>
  <c r="N33" i="2"/>
  <c r="O33" i="2"/>
  <c r="P33" i="2"/>
  <c r="Q33" i="2"/>
  <c r="Q35" i="2" s="1"/>
  <c r="Q37" i="2" s="1"/>
  <c r="Q44" i="2" s="1"/>
  <c r="B35" i="2"/>
  <c r="C35" i="2"/>
  <c r="D35" i="2"/>
  <c r="E35" i="2"/>
  <c r="F35" i="2"/>
  <c r="G35" i="2"/>
  <c r="G37" i="2" s="1"/>
  <c r="G44" i="2" s="1"/>
  <c r="I35" i="2"/>
  <c r="J35" i="2"/>
  <c r="K35" i="2"/>
  <c r="L35" i="2"/>
  <c r="M35" i="2"/>
  <c r="N35" i="2"/>
  <c r="O35" i="2"/>
  <c r="P35" i="2"/>
  <c r="B37" i="2"/>
  <c r="C37" i="2"/>
  <c r="D37" i="2"/>
  <c r="E37" i="2"/>
  <c r="F37" i="2"/>
  <c r="I37" i="2"/>
  <c r="I44" i="2" s="1"/>
  <c r="J37" i="2"/>
  <c r="K37" i="2"/>
  <c r="L37" i="2"/>
  <c r="M37" i="2"/>
  <c r="N37" i="2"/>
  <c r="O37" i="2"/>
  <c r="P37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B44" i="2"/>
  <c r="C44" i="2"/>
  <c r="D44" i="2"/>
  <c r="E44" i="2"/>
  <c r="F44" i="2"/>
  <c r="J44" i="2"/>
  <c r="K44" i="2"/>
  <c r="L44" i="2"/>
  <c r="M44" i="2"/>
  <c r="N44" i="2"/>
  <c r="O44" i="2"/>
  <c r="P44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R29" i="1"/>
  <c r="R31" i="1" s="1"/>
  <c r="Q29" i="1"/>
  <c r="Q31" i="1" s="1"/>
  <c r="P29" i="1"/>
  <c r="P31" i="1" s="1"/>
  <c r="O29" i="1"/>
  <c r="O31" i="1" s="1"/>
  <c r="N29" i="1"/>
  <c r="N31" i="1" s="1"/>
  <c r="M29" i="1"/>
  <c r="M31" i="1" s="1"/>
  <c r="L29" i="1"/>
  <c r="L31" i="1" s="1"/>
  <c r="K29" i="1"/>
  <c r="K31" i="1" s="1"/>
  <c r="J29" i="1"/>
  <c r="J31" i="1" s="1"/>
  <c r="I29" i="1"/>
  <c r="I31" i="1" s="1"/>
  <c r="H29" i="1"/>
  <c r="H31" i="1" s="1"/>
  <c r="G29" i="1"/>
  <c r="G31" i="1" s="1"/>
  <c r="F29" i="1"/>
  <c r="F31" i="1" s="1"/>
  <c r="E29" i="1"/>
  <c r="E31" i="1" s="1"/>
  <c r="D29" i="1"/>
  <c r="D31" i="1" s="1"/>
  <c r="C29" i="1"/>
  <c r="C31" i="1" s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R11" i="1"/>
  <c r="Q11" i="1"/>
  <c r="Q21" i="1" s="1"/>
  <c r="Q33" i="1" s="1"/>
  <c r="Q35" i="1" s="1"/>
  <c r="Q41" i="1" s="1"/>
  <c r="P11" i="1"/>
  <c r="P21" i="1" s="1"/>
  <c r="P33" i="1" s="1"/>
  <c r="P35" i="1" s="1"/>
  <c r="P41" i="1" s="1"/>
  <c r="O11" i="1"/>
  <c r="O21" i="1" s="1"/>
  <c r="O33" i="1" s="1"/>
  <c r="O35" i="1" s="1"/>
  <c r="O41" i="1" s="1"/>
  <c r="N11" i="1"/>
  <c r="M11" i="1"/>
  <c r="M21" i="1" s="1"/>
  <c r="M33" i="1" s="1"/>
  <c r="M35" i="1" s="1"/>
  <c r="M41" i="1" s="1"/>
  <c r="L11" i="1"/>
  <c r="L21" i="1" s="1"/>
  <c r="L33" i="1" s="1"/>
  <c r="L35" i="1" s="1"/>
  <c r="L41" i="1" s="1"/>
  <c r="K11" i="1"/>
  <c r="J11" i="1"/>
  <c r="I11" i="1"/>
  <c r="H11" i="1"/>
  <c r="G11" i="1"/>
  <c r="G21" i="1" s="1"/>
  <c r="G33" i="1" s="1"/>
  <c r="G35" i="1" s="1"/>
  <c r="G41" i="1" s="1"/>
  <c r="F11" i="1"/>
  <c r="F21" i="1" s="1"/>
  <c r="F33" i="1" s="1"/>
  <c r="F35" i="1" s="1"/>
  <c r="F41" i="1" s="1"/>
  <c r="E11" i="1"/>
  <c r="E21" i="1" s="1"/>
  <c r="E33" i="1" s="1"/>
  <c r="E35" i="1" s="1"/>
  <c r="E41" i="1" s="1"/>
  <c r="D11" i="1"/>
  <c r="D21" i="1" s="1"/>
  <c r="D33" i="1" s="1"/>
  <c r="D35" i="1" s="1"/>
  <c r="D41" i="1" s="1"/>
  <c r="C11" i="1"/>
  <c r="C21" i="1" s="1"/>
  <c r="C33" i="1" s="1"/>
  <c r="C35" i="1" s="1"/>
  <c r="C41" i="1" s="1"/>
  <c r="K53" i="6" l="1"/>
  <c r="K8" i="7" s="1"/>
  <c r="O101" i="7" s="1"/>
  <c r="K56" i="6"/>
  <c r="K57" i="6" s="1"/>
  <c r="K59" i="6" s="1"/>
  <c r="L58" i="6"/>
  <c r="L85" i="8"/>
  <c r="M35" i="6"/>
  <c r="M85" i="8" s="1"/>
  <c r="M101" i="8" s="1"/>
  <c r="R21" i="1"/>
  <c r="R33" i="1" s="1"/>
  <c r="R35" i="1" s="1"/>
  <c r="R41" i="1" s="1"/>
  <c r="K21" i="1"/>
  <c r="K33" i="1" s="1"/>
  <c r="K35" i="1" s="1"/>
  <c r="K41" i="1" s="1"/>
  <c r="L39" i="6"/>
  <c r="L41" i="6" s="1"/>
  <c r="L53" i="6" s="1"/>
  <c r="L8" i="7" s="1"/>
  <c r="O100" i="7" s="1"/>
  <c r="O18" i="7" s="1"/>
  <c r="L52" i="6"/>
  <c r="K49" i="6"/>
  <c r="K64" i="7" s="1"/>
  <c r="X17" i="1" s="1"/>
  <c r="K48" i="6"/>
  <c r="K57" i="7" s="1"/>
  <c r="J51" i="6"/>
  <c r="J79" i="8" s="1"/>
  <c r="J81" i="8" s="1"/>
  <c r="J83" i="8" s="1"/>
  <c r="J122" i="8" s="1"/>
  <c r="B21" i="13"/>
  <c r="C20" i="13"/>
  <c r="S30" i="18"/>
  <c r="O23" i="18"/>
  <c r="H25" i="6"/>
  <c r="H19" i="7" s="1"/>
  <c r="H23" i="7" s="1"/>
  <c r="J60" i="6"/>
  <c r="L101" i="8"/>
  <c r="L87" i="8"/>
  <c r="L89" i="8" s="1"/>
  <c r="L123" i="8" s="1"/>
  <c r="L88" i="8"/>
  <c r="L112" i="8" s="1"/>
  <c r="G22" i="7"/>
  <c r="K51" i="6"/>
  <c r="K79" i="8" s="1"/>
  <c r="M88" i="8"/>
  <c r="M112" i="8" s="1"/>
  <c r="O80" i="8"/>
  <c r="U86" i="8"/>
  <c r="N35" i="6"/>
  <c r="N52" i="6" s="1"/>
  <c r="M58" i="6"/>
  <c r="M52" i="6"/>
  <c r="M38" i="6"/>
  <c r="O32" i="6"/>
  <c r="O37" i="6"/>
  <c r="G4" i="6"/>
  <c r="K4" i="6" s="1"/>
  <c r="O4" i="6" s="1"/>
  <c r="S4" i="6" s="1"/>
  <c r="W4" i="6" s="1"/>
  <c r="S24" i="1"/>
  <c r="AC48" i="2"/>
  <c r="Z42" i="2"/>
  <c r="AA40" i="2"/>
  <c r="Z33" i="2"/>
  <c r="AA22" i="2"/>
  <c r="AE13" i="2"/>
  <c r="AA9" i="2"/>
  <c r="AB8" i="2"/>
  <c r="K38" i="10"/>
  <c r="K39" i="10" s="1"/>
  <c r="K14" i="10"/>
  <c r="K10" i="10"/>
  <c r="H21" i="1"/>
  <c r="H33" i="1" s="1"/>
  <c r="H35" i="1" s="1"/>
  <c r="H41" i="1" s="1"/>
  <c r="I21" i="1"/>
  <c r="I33" i="1" s="1"/>
  <c r="I35" i="1" s="1"/>
  <c r="I41" i="1" s="1"/>
  <c r="J21" i="1"/>
  <c r="J33" i="1" s="1"/>
  <c r="J35" i="1" s="1"/>
  <c r="J41" i="1" s="1"/>
  <c r="N21" i="1"/>
  <c r="N33" i="1" s="1"/>
  <c r="N35" i="1" s="1"/>
  <c r="N41" i="1" s="1"/>
  <c r="T91" i="7"/>
  <c r="N64" i="8"/>
  <c r="M66" i="8"/>
  <c r="M109" i="8" s="1"/>
  <c r="M67" i="8"/>
  <c r="M120" i="8" s="1"/>
  <c r="Q71" i="8"/>
  <c r="R52" i="8"/>
  <c r="P34" i="8"/>
  <c r="T37" i="8"/>
  <c r="V18" i="8"/>
  <c r="P17" i="8"/>
  <c r="V15" i="8"/>
  <c r="P67" i="7"/>
  <c r="F40" i="7"/>
  <c r="O63" i="7"/>
  <c r="N38" i="7"/>
  <c r="P39" i="7"/>
  <c r="P40" i="7" s="1"/>
  <c r="H40" i="7"/>
  <c r="G40" i="7"/>
  <c r="U34" i="7"/>
  <c r="G23" i="7"/>
  <c r="O11" i="7"/>
  <c r="G11" i="6"/>
  <c r="H21" i="6"/>
  <c r="H4" i="6"/>
  <c r="L4" i="6" s="1"/>
  <c r="P4" i="6" s="1"/>
  <c r="T4" i="6" s="1"/>
  <c r="X4" i="6" s="1"/>
  <c r="E4" i="6"/>
  <c r="I4" i="6" s="1"/>
  <c r="M4" i="6" s="1"/>
  <c r="Q4" i="6" s="1"/>
  <c r="U4" i="6" s="1"/>
  <c r="Y4" i="6" s="1"/>
  <c r="G9" i="6"/>
  <c r="G76" i="7" s="1"/>
  <c r="F14" i="6"/>
  <c r="P101" i="7" l="1"/>
  <c r="L56" i="6"/>
  <c r="M87" i="8"/>
  <c r="M89" i="8" s="1"/>
  <c r="M123" i="8" s="1"/>
  <c r="L49" i="6"/>
  <c r="L64" i="7" s="1"/>
  <c r="Y17" i="1" s="1"/>
  <c r="N100" i="7"/>
  <c r="N18" i="7" s="1"/>
  <c r="M39" i="6"/>
  <c r="M41" i="6" s="1"/>
  <c r="M53" i="6" s="1"/>
  <c r="M8" i="7" s="1"/>
  <c r="D20" i="13" s="1"/>
  <c r="L48" i="6"/>
  <c r="L57" i="7" s="1"/>
  <c r="N99" i="7"/>
  <c r="M99" i="7"/>
  <c r="J100" i="8"/>
  <c r="J82" i="8"/>
  <c r="J111" i="8" s="1"/>
  <c r="I21" i="6"/>
  <c r="H22" i="6"/>
  <c r="H11" i="6" s="1"/>
  <c r="T30" i="18"/>
  <c r="P23" i="18"/>
  <c r="O36" i="6"/>
  <c r="O35" i="6" s="1"/>
  <c r="O85" i="8" s="1"/>
  <c r="O101" i="8" s="1"/>
  <c r="H22" i="7"/>
  <c r="H42" i="7" s="1"/>
  <c r="G24" i="7"/>
  <c r="I25" i="6"/>
  <c r="I19" i="7" s="1"/>
  <c r="N58" i="6"/>
  <c r="K100" i="8"/>
  <c r="K81" i="8"/>
  <c r="K83" i="8" s="1"/>
  <c r="K122" i="8" s="1"/>
  <c r="K82" i="8"/>
  <c r="K111" i="8" s="1"/>
  <c r="K60" i="6"/>
  <c r="L57" i="6"/>
  <c r="L59" i="6" s="1"/>
  <c r="L51" i="6"/>
  <c r="L79" i="8" s="1"/>
  <c r="Q101" i="7"/>
  <c r="N38" i="6"/>
  <c r="N39" i="6" s="1"/>
  <c r="N41" i="6" s="1"/>
  <c r="N53" i="6" s="1"/>
  <c r="N8" i="7" s="1"/>
  <c r="N85" i="8"/>
  <c r="V86" i="8"/>
  <c r="P80" i="8"/>
  <c r="M48" i="6"/>
  <c r="M57" i="7" s="1"/>
  <c r="M56" i="6"/>
  <c r="P37" i="6"/>
  <c r="P32" i="6"/>
  <c r="T24" i="1"/>
  <c r="AD48" i="2"/>
  <c r="AA42" i="2"/>
  <c r="AB40" i="2"/>
  <c r="AA33" i="2"/>
  <c r="AB22" i="2"/>
  <c r="AF13" i="2"/>
  <c r="AB9" i="2"/>
  <c r="AC8" i="2"/>
  <c r="F29" i="7"/>
  <c r="F16" i="6"/>
  <c r="F7" i="7" s="1"/>
  <c r="U91" i="7"/>
  <c r="V91" i="7" s="1"/>
  <c r="O64" i="8"/>
  <c r="N66" i="8"/>
  <c r="N109" i="8" s="1"/>
  <c r="N67" i="8"/>
  <c r="N120" i="8" s="1"/>
  <c r="R71" i="8"/>
  <c r="S52" i="8"/>
  <c r="Q34" i="8"/>
  <c r="U37" i="8"/>
  <c r="W18" i="8"/>
  <c r="W15" i="8"/>
  <c r="Q17" i="8"/>
  <c r="G42" i="7"/>
  <c r="G68" i="7"/>
  <c r="T18" i="1" s="1"/>
  <c r="H68" i="7"/>
  <c r="U18" i="1" s="1"/>
  <c r="Q67" i="7"/>
  <c r="P63" i="7"/>
  <c r="O38" i="7"/>
  <c r="Q39" i="7"/>
  <c r="Q40" i="7" s="1"/>
  <c r="V34" i="7"/>
  <c r="P11" i="7"/>
  <c r="H9" i="6"/>
  <c r="H76" i="7" s="1"/>
  <c r="G12" i="6"/>
  <c r="G14" i="6" s="1"/>
  <c r="O99" i="7" l="1"/>
  <c r="M49" i="6"/>
  <c r="M64" i="7" s="1"/>
  <c r="Z17" i="1" s="1"/>
  <c r="H17" i="10" s="1"/>
  <c r="P100" i="7"/>
  <c r="P18" i="7" s="1"/>
  <c r="J21" i="6"/>
  <c r="I22" i="6"/>
  <c r="I11" i="6" s="1"/>
  <c r="G33" i="7"/>
  <c r="G47" i="7" s="1"/>
  <c r="G8" i="18"/>
  <c r="G8" i="8"/>
  <c r="G38" i="8" s="1"/>
  <c r="U30" i="18"/>
  <c r="Q23" i="18"/>
  <c r="P36" i="6"/>
  <c r="P35" i="6" s="1"/>
  <c r="P85" i="8" s="1"/>
  <c r="P87" i="8" s="1"/>
  <c r="P89" i="8" s="1"/>
  <c r="P123" i="8" s="1"/>
  <c r="H24" i="7"/>
  <c r="F9" i="7"/>
  <c r="J25" i="6"/>
  <c r="J19" i="7" s="1"/>
  <c r="O38" i="6"/>
  <c r="O39" i="6" s="1"/>
  <c r="O41" i="6" s="1"/>
  <c r="O53" i="6" s="1"/>
  <c r="O8" i="7" s="1"/>
  <c r="O87" i="8"/>
  <c r="O89" i="8" s="1"/>
  <c r="O123" i="8" s="1"/>
  <c r="O88" i="8"/>
  <c r="O112" i="8" s="1"/>
  <c r="O58" i="6"/>
  <c r="O52" i="6"/>
  <c r="L60" i="6"/>
  <c r="L81" i="8"/>
  <c r="L83" i="8" s="1"/>
  <c r="L122" i="8" s="1"/>
  <c r="L100" i="8"/>
  <c r="L82" i="8"/>
  <c r="L111" i="8" s="1"/>
  <c r="Q100" i="7"/>
  <c r="Q18" i="7" s="1"/>
  <c r="E25" i="13" s="1"/>
  <c r="E45" i="13" s="1"/>
  <c r="P99" i="7"/>
  <c r="R101" i="7"/>
  <c r="N87" i="8"/>
  <c r="N89" i="8" s="1"/>
  <c r="N123" i="8" s="1"/>
  <c r="N101" i="8"/>
  <c r="N88" i="8"/>
  <c r="N112" i="8" s="1"/>
  <c r="Q80" i="8"/>
  <c r="W86" i="8"/>
  <c r="M57" i="6"/>
  <c r="M59" i="6" s="1"/>
  <c r="M51" i="6"/>
  <c r="M79" i="8" s="1"/>
  <c r="N48" i="6"/>
  <c r="N57" i="7" s="1"/>
  <c r="N49" i="6"/>
  <c r="N64" i="7" s="1"/>
  <c r="AA17" i="1" s="1"/>
  <c r="N56" i="6"/>
  <c r="Q32" i="6"/>
  <c r="Q37" i="6"/>
  <c r="U24" i="1"/>
  <c r="AE48" i="2"/>
  <c r="AB42" i="2"/>
  <c r="AC40" i="2"/>
  <c r="AB33" i="2"/>
  <c r="AC22" i="2"/>
  <c r="AG13" i="2"/>
  <c r="AC9" i="2"/>
  <c r="AD8" i="2"/>
  <c r="T16" i="1"/>
  <c r="U16" i="1"/>
  <c r="G16" i="6"/>
  <c r="G7" i="7" s="1"/>
  <c r="G9" i="7" s="1"/>
  <c r="G7" i="18" s="1"/>
  <c r="G29" i="7"/>
  <c r="F30" i="7"/>
  <c r="W91" i="7"/>
  <c r="P64" i="8"/>
  <c r="O66" i="8"/>
  <c r="O109" i="8" s="1"/>
  <c r="O67" i="8"/>
  <c r="O120" i="8" s="1"/>
  <c r="S71" i="8"/>
  <c r="T52" i="8"/>
  <c r="R34" i="8"/>
  <c r="V37" i="8"/>
  <c r="X18" i="8"/>
  <c r="R17" i="8"/>
  <c r="X15" i="8"/>
  <c r="R67" i="7"/>
  <c r="Q63" i="7"/>
  <c r="R39" i="7"/>
  <c r="R40" i="7" s="1"/>
  <c r="P38" i="7"/>
  <c r="W34" i="7"/>
  <c r="Q11" i="7"/>
  <c r="I9" i="6"/>
  <c r="I76" i="7" s="1"/>
  <c r="V24" i="1" s="1"/>
  <c r="H12" i="6"/>
  <c r="H14" i="6" s="1"/>
  <c r="K21" i="6" l="1"/>
  <c r="J22" i="6"/>
  <c r="J11" i="6" s="1"/>
  <c r="G9" i="8"/>
  <c r="G46" i="8" s="1"/>
  <c r="G9" i="18"/>
  <c r="G96" i="8"/>
  <c r="G45" i="8"/>
  <c r="G107" i="8" s="1"/>
  <c r="F62" i="7"/>
  <c r="S15" i="1" s="1"/>
  <c r="F7" i="18"/>
  <c r="G17" i="18"/>
  <c r="G24" i="18"/>
  <c r="G31" i="18"/>
  <c r="H33" i="7"/>
  <c r="H47" i="7" s="1"/>
  <c r="H46" i="7" s="1"/>
  <c r="H8" i="18"/>
  <c r="H8" i="8"/>
  <c r="H38" i="8" s="1"/>
  <c r="V30" i="18"/>
  <c r="R23" i="18"/>
  <c r="Q36" i="6"/>
  <c r="Q35" i="6" s="1"/>
  <c r="Q85" i="8" s="1"/>
  <c r="Q101" i="8" s="1"/>
  <c r="F56" i="7"/>
  <c r="I95" i="7"/>
  <c r="I17" i="7" s="1"/>
  <c r="J96" i="7"/>
  <c r="H94" i="7"/>
  <c r="F7" i="8"/>
  <c r="F33" i="8" s="1"/>
  <c r="K25" i="6"/>
  <c r="K19" i="7" s="1"/>
  <c r="P52" i="6"/>
  <c r="P38" i="6"/>
  <c r="P39" i="6" s="1"/>
  <c r="P41" i="6" s="1"/>
  <c r="P53" i="6" s="1"/>
  <c r="P8" i="7" s="1"/>
  <c r="P58" i="6"/>
  <c r="P101" i="8"/>
  <c r="P88" i="8"/>
  <c r="P112" i="8" s="1"/>
  <c r="M100" i="8"/>
  <c r="M81" i="8"/>
  <c r="M83" i="8" s="1"/>
  <c r="M122" i="8" s="1"/>
  <c r="M82" i="8"/>
  <c r="M111" i="8" s="1"/>
  <c r="R100" i="7"/>
  <c r="R18" i="7" s="1"/>
  <c r="Q99" i="7"/>
  <c r="S101" i="7"/>
  <c r="X86" i="8"/>
  <c r="R80" i="8"/>
  <c r="M60" i="6"/>
  <c r="N57" i="6"/>
  <c r="N59" i="6" s="1"/>
  <c r="N51" i="6"/>
  <c r="N79" i="8" s="1"/>
  <c r="O48" i="6"/>
  <c r="O57" i="7" s="1"/>
  <c r="O49" i="6"/>
  <c r="O64" i="7" s="1"/>
  <c r="AB17" i="1" s="1"/>
  <c r="O56" i="6"/>
  <c r="R37" i="6"/>
  <c r="S37" i="6" s="1"/>
  <c r="R32" i="6"/>
  <c r="G24" i="10"/>
  <c r="C36" i="13" s="1"/>
  <c r="G46" i="7"/>
  <c r="G45" i="7"/>
  <c r="AF48" i="2"/>
  <c r="AC42" i="2"/>
  <c r="AD40" i="2"/>
  <c r="AC33" i="2"/>
  <c r="AD22" i="2"/>
  <c r="AH13" i="2"/>
  <c r="AE8" i="2"/>
  <c r="AD9" i="2"/>
  <c r="I94" i="7"/>
  <c r="G62" i="7"/>
  <c r="G56" i="7"/>
  <c r="G7" i="8"/>
  <c r="G16" i="8" s="1"/>
  <c r="J95" i="7"/>
  <c r="J17" i="7" s="1"/>
  <c r="K96" i="7"/>
  <c r="J106" i="7"/>
  <c r="I105" i="7"/>
  <c r="I31" i="7" s="1"/>
  <c r="H104" i="7"/>
  <c r="H29" i="7"/>
  <c r="H16" i="6"/>
  <c r="H7" i="7" s="1"/>
  <c r="G30" i="7"/>
  <c r="G36" i="7" s="1"/>
  <c r="T9" i="3" s="1"/>
  <c r="X91" i="7"/>
  <c r="Q64" i="8"/>
  <c r="P66" i="8"/>
  <c r="P109" i="8" s="1"/>
  <c r="P67" i="8"/>
  <c r="P120" i="8" s="1"/>
  <c r="T71" i="8"/>
  <c r="U52" i="8"/>
  <c r="S34" i="8"/>
  <c r="W37" i="8"/>
  <c r="Y18" i="8"/>
  <c r="Y15" i="8"/>
  <c r="S17" i="8"/>
  <c r="S67" i="7"/>
  <c r="R63" i="7"/>
  <c r="S39" i="7"/>
  <c r="S40" i="7" s="1"/>
  <c r="Q38" i="7"/>
  <c r="X34" i="7"/>
  <c r="R11" i="7"/>
  <c r="I12" i="6"/>
  <c r="I14" i="6" s="1"/>
  <c r="J9" i="6"/>
  <c r="J76" i="7" s="1"/>
  <c r="W24" i="1" s="1"/>
  <c r="I22" i="7" l="1"/>
  <c r="I42" i="7" s="1"/>
  <c r="C24" i="13"/>
  <c r="C44" i="13" s="1"/>
  <c r="L21" i="6"/>
  <c r="K22" i="6"/>
  <c r="K11" i="6" s="1"/>
  <c r="G25" i="8"/>
  <c r="G113" i="8" s="1"/>
  <c r="G33" i="18"/>
  <c r="G58" i="7" s="1"/>
  <c r="G59" i="7" s="1"/>
  <c r="T10" i="3" s="1"/>
  <c r="T11" i="3" s="1"/>
  <c r="H9" i="8"/>
  <c r="H25" i="8" s="1"/>
  <c r="H96" i="8"/>
  <c r="H40" i="8"/>
  <c r="H45" i="8"/>
  <c r="H107" i="8" s="1"/>
  <c r="H17" i="18"/>
  <c r="H24" i="18"/>
  <c r="H31" i="18"/>
  <c r="H45" i="7"/>
  <c r="H9" i="18"/>
  <c r="W30" i="18"/>
  <c r="S23" i="18"/>
  <c r="F16" i="8"/>
  <c r="F19" i="8" s="1"/>
  <c r="F26" i="8" s="1"/>
  <c r="F117" i="8" s="1"/>
  <c r="R36" i="6"/>
  <c r="R35" i="6" s="1"/>
  <c r="R85" i="8" s="1"/>
  <c r="I23" i="7"/>
  <c r="I68" i="7" s="1"/>
  <c r="V18" i="1" s="1"/>
  <c r="H9" i="7"/>
  <c r="Q52" i="6"/>
  <c r="Q88" i="8"/>
  <c r="Q112" i="8" s="1"/>
  <c r="Q87" i="8"/>
  <c r="Q89" i="8" s="1"/>
  <c r="Q123" i="8" s="1"/>
  <c r="Q58" i="6"/>
  <c r="Q38" i="6"/>
  <c r="Q39" i="6" s="1"/>
  <c r="Q41" i="6" s="1"/>
  <c r="Q53" i="6" s="1"/>
  <c r="Q8" i="7" s="1"/>
  <c r="E20" i="13" s="1"/>
  <c r="L25" i="6"/>
  <c r="L19" i="7" s="1"/>
  <c r="J22" i="7"/>
  <c r="N100" i="8"/>
  <c r="N81" i="8"/>
  <c r="N83" i="8" s="1"/>
  <c r="N122" i="8" s="1"/>
  <c r="N82" i="8"/>
  <c r="N111" i="8" s="1"/>
  <c r="T101" i="7"/>
  <c r="S100" i="7"/>
  <c r="S18" i="7" s="1"/>
  <c r="R99" i="7"/>
  <c r="S80" i="8"/>
  <c r="Y86" i="8"/>
  <c r="N60" i="6"/>
  <c r="O57" i="6"/>
  <c r="O59" i="6" s="1"/>
  <c r="O51" i="6"/>
  <c r="O79" i="8" s="1"/>
  <c r="P48" i="6"/>
  <c r="P57" i="7" s="1"/>
  <c r="P49" i="6"/>
  <c r="P64" i="7" s="1"/>
  <c r="AC17" i="1" s="1"/>
  <c r="P56" i="6"/>
  <c r="S32" i="6"/>
  <c r="T37" i="6"/>
  <c r="G33" i="8"/>
  <c r="G95" i="8" s="1"/>
  <c r="T15" i="1"/>
  <c r="T19" i="1" s="1"/>
  <c r="G70" i="7"/>
  <c r="T13" i="3" s="1"/>
  <c r="AG48" i="2"/>
  <c r="AE40" i="2"/>
  <c r="AD42" i="2"/>
  <c r="AD33" i="2"/>
  <c r="AE22" i="2"/>
  <c r="AI13" i="2"/>
  <c r="AF8" i="2"/>
  <c r="AE9" i="2"/>
  <c r="F35" i="8"/>
  <c r="F44" i="8"/>
  <c r="F106" i="8" s="1"/>
  <c r="F95" i="8"/>
  <c r="H30" i="7"/>
  <c r="H36" i="7" s="1"/>
  <c r="U9" i="3" s="1"/>
  <c r="K106" i="7"/>
  <c r="I104" i="7"/>
  <c r="J105" i="7"/>
  <c r="J31" i="7" s="1"/>
  <c r="T8" i="1"/>
  <c r="G49" i="7"/>
  <c r="I16" i="6"/>
  <c r="I29" i="7"/>
  <c r="J23" i="7"/>
  <c r="Y91" i="7"/>
  <c r="G94" i="8"/>
  <c r="G24" i="8"/>
  <c r="G105" i="8" s="1"/>
  <c r="R64" i="8"/>
  <c r="Q66" i="8"/>
  <c r="Q109" i="8" s="1"/>
  <c r="Q67" i="8"/>
  <c r="Q120" i="8" s="1"/>
  <c r="U71" i="8"/>
  <c r="V52" i="8"/>
  <c r="T34" i="8"/>
  <c r="X37" i="8"/>
  <c r="T17" i="8"/>
  <c r="T67" i="7"/>
  <c r="S63" i="7"/>
  <c r="T39" i="7"/>
  <c r="T40" i="7" s="1"/>
  <c r="R38" i="7"/>
  <c r="Y34" i="7"/>
  <c r="S11" i="7"/>
  <c r="K9" i="6"/>
  <c r="K76" i="7" s="1"/>
  <c r="X24" i="1" s="1"/>
  <c r="J12" i="6"/>
  <c r="J14" i="6" s="1"/>
  <c r="M21" i="6" l="1"/>
  <c r="L22" i="6"/>
  <c r="L11" i="6" s="1"/>
  <c r="F24" i="8"/>
  <c r="F105" i="8" s="1"/>
  <c r="H33" i="18"/>
  <c r="H58" i="7" s="1"/>
  <c r="H46" i="8"/>
  <c r="H113" i="8" s="1"/>
  <c r="K95" i="7"/>
  <c r="K17" i="7" s="1"/>
  <c r="H7" i="18"/>
  <c r="X30" i="18"/>
  <c r="T23" i="18"/>
  <c r="F94" i="8"/>
  <c r="G19" i="8"/>
  <c r="G26" i="8" s="1"/>
  <c r="G117" i="8" s="1"/>
  <c r="S36" i="6"/>
  <c r="S35" i="6" s="1"/>
  <c r="S85" i="8" s="1"/>
  <c r="I24" i="7"/>
  <c r="H62" i="7"/>
  <c r="H70" i="7" s="1"/>
  <c r="U13" i="3" s="1"/>
  <c r="H56" i="7"/>
  <c r="J94" i="7"/>
  <c r="H7" i="8"/>
  <c r="H16" i="8" s="1"/>
  <c r="L96" i="7"/>
  <c r="J24" i="7"/>
  <c r="M25" i="6"/>
  <c r="M19" i="7" s="1"/>
  <c r="I7" i="7"/>
  <c r="O100" i="8"/>
  <c r="O81" i="8"/>
  <c r="O83" i="8" s="1"/>
  <c r="O122" i="8" s="1"/>
  <c r="O82" i="8"/>
  <c r="O111" i="8" s="1"/>
  <c r="U101" i="7"/>
  <c r="T100" i="7"/>
  <c r="T18" i="7" s="1"/>
  <c r="S99" i="7"/>
  <c r="R87" i="8"/>
  <c r="R89" i="8" s="1"/>
  <c r="R123" i="8" s="1"/>
  <c r="R101" i="8"/>
  <c r="R88" i="8"/>
  <c r="R112" i="8" s="1"/>
  <c r="T9" i="1"/>
  <c r="T11" i="1" s="1"/>
  <c r="T21" i="1" s="1"/>
  <c r="G72" i="7"/>
  <c r="G74" i="7"/>
  <c r="T80" i="8"/>
  <c r="O60" i="6"/>
  <c r="P57" i="6"/>
  <c r="P59" i="6" s="1"/>
  <c r="P51" i="6"/>
  <c r="P79" i="8" s="1"/>
  <c r="R58" i="6"/>
  <c r="R52" i="6"/>
  <c r="T32" i="6"/>
  <c r="T36" i="6" s="1"/>
  <c r="R38" i="6"/>
  <c r="R39" i="6" s="1"/>
  <c r="R41" i="6" s="1"/>
  <c r="R53" i="6" s="1"/>
  <c r="R8" i="7" s="1"/>
  <c r="Q48" i="6"/>
  <c r="Q57" i="7" s="1"/>
  <c r="Q49" i="6"/>
  <c r="Q64" i="7" s="1"/>
  <c r="AD17" i="1" s="1"/>
  <c r="I17" i="10" s="1"/>
  <c r="Q56" i="6"/>
  <c r="U37" i="6"/>
  <c r="V16" i="1"/>
  <c r="G44" i="8"/>
  <c r="G106" i="8" s="1"/>
  <c r="G49" i="8"/>
  <c r="G53" i="8" s="1"/>
  <c r="G97" i="8" s="1"/>
  <c r="G35" i="8"/>
  <c r="J42" i="7"/>
  <c r="AH48" i="2"/>
  <c r="AF40" i="2"/>
  <c r="AE42" i="2"/>
  <c r="AE33" i="2"/>
  <c r="AF22" i="2"/>
  <c r="AJ13" i="2"/>
  <c r="AF9" i="2"/>
  <c r="AG8" i="2"/>
  <c r="I30" i="7"/>
  <c r="J68" i="7"/>
  <c r="J16" i="6"/>
  <c r="J7" i="7" s="1"/>
  <c r="J29" i="7"/>
  <c r="J104" i="7"/>
  <c r="K105" i="7"/>
  <c r="K31" i="7" s="1"/>
  <c r="L106" i="7"/>
  <c r="U8" i="1"/>
  <c r="H49" i="7"/>
  <c r="S64" i="8"/>
  <c r="R66" i="8"/>
  <c r="R109" i="8" s="1"/>
  <c r="R67" i="8"/>
  <c r="R120" i="8" s="1"/>
  <c r="V71" i="8"/>
  <c r="W52" i="8"/>
  <c r="U34" i="8"/>
  <c r="Y37" i="8"/>
  <c r="U17" i="8"/>
  <c r="U67" i="7"/>
  <c r="T63" i="7"/>
  <c r="U39" i="7"/>
  <c r="U40" i="7" s="1"/>
  <c r="S38" i="7"/>
  <c r="T11" i="7"/>
  <c r="L9" i="6"/>
  <c r="L76" i="7" s="1"/>
  <c r="Y24" i="1" s="1"/>
  <c r="K12" i="6"/>
  <c r="K14" i="6" s="1"/>
  <c r="K22" i="7" l="1"/>
  <c r="N21" i="6"/>
  <c r="M22" i="6"/>
  <c r="M11" i="6" s="1"/>
  <c r="H59" i="7"/>
  <c r="U10" i="3" s="1"/>
  <c r="U11" i="3" s="1"/>
  <c r="K23" i="7"/>
  <c r="J33" i="7"/>
  <c r="J47" i="7" s="1"/>
  <c r="J8" i="18"/>
  <c r="J8" i="8"/>
  <c r="J38" i="8" s="1"/>
  <c r="I33" i="7"/>
  <c r="I47" i="7" s="1"/>
  <c r="I9" i="18" s="1"/>
  <c r="I8" i="18"/>
  <c r="I8" i="8"/>
  <c r="I38" i="8" s="1"/>
  <c r="Y30" i="18"/>
  <c r="U23" i="18"/>
  <c r="U15" i="1"/>
  <c r="U19" i="1" s="1"/>
  <c r="H33" i="8"/>
  <c r="H95" i="8" s="1"/>
  <c r="I9" i="7"/>
  <c r="C19" i="13"/>
  <c r="J9" i="7"/>
  <c r="N25" i="6"/>
  <c r="N19" i="7" s="1"/>
  <c r="V101" i="7"/>
  <c r="U100" i="7"/>
  <c r="U18" i="7" s="1"/>
  <c r="F25" i="13" s="1"/>
  <c r="F45" i="13" s="1"/>
  <c r="T99" i="7"/>
  <c r="S101" i="8"/>
  <c r="S87" i="8"/>
  <c r="S89" i="8" s="1"/>
  <c r="S123" i="8" s="1"/>
  <c r="S88" i="8"/>
  <c r="S112" i="8" s="1"/>
  <c r="P100" i="8"/>
  <c r="P81" i="8"/>
  <c r="P83" i="8" s="1"/>
  <c r="P122" i="8" s="1"/>
  <c r="P82" i="8"/>
  <c r="P111" i="8" s="1"/>
  <c r="U80" i="8"/>
  <c r="P60" i="6"/>
  <c r="S58" i="6"/>
  <c r="S52" i="6"/>
  <c r="Q57" i="6"/>
  <c r="Q59" i="6" s="1"/>
  <c r="Q51" i="6"/>
  <c r="Q79" i="8" s="1"/>
  <c r="R48" i="6"/>
  <c r="R57" i="7" s="1"/>
  <c r="R56" i="6"/>
  <c r="R49" i="6"/>
  <c r="R64" i="7" s="1"/>
  <c r="AE17" i="1" s="1"/>
  <c r="U32" i="6"/>
  <c r="U36" i="6" s="1"/>
  <c r="T35" i="6"/>
  <c r="T85" i="8" s="1"/>
  <c r="S38" i="6"/>
  <c r="S39" i="6" s="1"/>
  <c r="V37" i="6"/>
  <c r="G59" i="8"/>
  <c r="G75" i="8" s="1"/>
  <c r="G110" i="8" s="1"/>
  <c r="G56" i="8"/>
  <c r="G108" i="8" s="1"/>
  <c r="W16" i="1"/>
  <c r="W18" i="1"/>
  <c r="AI48" i="2"/>
  <c r="AF42" i="2"/>
  <c r="AG40" i="2"/>
  <c r="AF33" i="2"/>
  <c r="AG22" i="2"/>
  <c r="AK13" i="2"/>
  <c r="AG9" i="2"/>
  <c r="AH8" i="2"/>
  <c r="K29" i="7"/>
  <c r="K16" i="6"/>
  <c r="K7" i="7" s="1"/>
  <c r="K9" i="7" s="1"/>
  <c r="K7" i="18" s="1"/>
  <c r="M106" i="7"/>
  <c r="L105" i="7"/>
  <c r="L31" i="7" s="1"/>
  <c r="K104" i="7"/>
  <c r="J30" i="7"/>
  <c r="H19" i="8"/>
  <c r="H26" i="8" s="1"/>
  <c r="H117" i="8" s="1"/>
  <c r="H94" i="8"/>
  <c r="H24" i="8"/>
  <c r="H105" i="8" s="1"/>
  <c r="T64" i="8"/>
  <c r="S66" i="8"/>
  <c r="S109" i="8" s="1"/>
  <c r="S67" i="8"/>
  <c r="S120" i="8" s="1"/>
  <c r="W71" i="8"/>
  <c r="X52" i="8"/>
  <c r="V34" i="8"/>
  <c r="V17" i="8"/>
  <c r="V67" i="7"/>
  <c r="U63" i="7"/>
  <c r="V39" i="7"/>
  <c r="V40" i="7" s="1"/>
  <c r="T38" i="7"/>
  <c r="U11" i="7"/>
  <c r="M9" i="6"/>
  <c r="M76" i="7" s="1"/>
  <c r="Z24" i="1" s="1"/>
  <c r="L12" i="6"/>
  <c r="L14" i="6" s="1"/>
  <c r="K42" i="7" l="1"/>
  <c r="X16" i="1" s="1"/>
  <c r="O21" i="6"/>
  <c r="N22" i="6"/>
  <c r="N11" i="6" s="1"/>
  <c r="I49" i="7"/>
  <c r="J36" i="7"/>
  <c r="W9" i="3" s="1"/>
  <c r="H74" i="7"/>
  <c r="H72" i="7"/>
  <c r="U9" i="1"/>
  <c r="U11" i="1" s="1"/>
  <c r="U21" i="1" s="1"/>
  <c r="I36" i="7"/>
  <c r="V9" i="3" s="1"/>
  <c r="I45" i="7"/>
  <c r="K68" i="7"/>
  <c r="X18" i="1" s="1"/>
  <c r="K24" i="7"/>
  <c r="K33" i="7" s="1"/>
  <c r="I46" i="7"/>
  <c r="I9" i="8"/>
  <c r="I46" i="8" s="1"/>
  <c r="I96" i="8"/>
  <c r="I40" i="8"/>
  <c r="I45" i="8"/>
  <c r="I107" i="8" s="1"/>
  <c r="I17" i="18"/>
  <c r="I31" i="18"/>
  <c r="I24" i="18"/>
  <c r="J96" i="8"/>
  <c r="J40" i="8"/>
  <c r="J45" i="8"/>
  <c r="J107" i="8" s="1"/>
  <c r="J9" i="8"/>
  <c r="J25" i="8" s="1"/>
  <c r="J9" i="18"/>
  <c r="J62" i="7"/>
  <c r="W15" i="1" s="1"/>
  <c r="W19" i="1" s="1"/>
  <c r="J7" i="18"/>
  <c r="J17" i="18"/>
  <c r="J31" i="18"/>
  <c r="J24" i="18"/>
  <c r="K94" i="7"/>
  <c r="I7" i="18"/>
  <c r="V23" i="18"/>
  <c r="J7" i="8"/>
  <c r="J33" i="8" s="1"/>
  <c r="I7" i="8"/>
  <c r="I33" i="8" s="1"/>
  <c r="I49" i="8" s="1"/>
  <c r="I53" i="8" s="1"/>
  <c r="M96" i="7"/>
  <c r="H49" i="8"/>
  <c r="H53" i="8" s="1"/>
  <c r="H59" i="8" s="1"/>
  <c r="H35" i="8"/>
  <c r="H47" i="8" s="1"/>
  <c r="H118" i="8" s="1"/>
  <c r="M95" i="7"/>
  <c r="M17" i="7" s="1"/>
  <c r="M23" i="7" s="1"/>
  <c r="J46" i="7"/>
  <c r="H44" i="8"/>
  <c r="H106" i="8" s="1"/>
  <c r="C21" i="13"/>
  <c r="N96" i="7"/>
  <c r="L94" i="7"/>
  <c r="J56" i="7"/>
  <c r="J45" i="7"/>
  <c r="I56" i="7"/>
  <c r="L95" i="7"/>
  <c r="L17" i="7" s="1"/>
  <c r="I62" i="7"/>
  <c r="I70" i="7" s="1"/>
  <c r="V13" i="3" s="1"/>
  <c r="O25" i="6"/>
  <c r="O19" i="7" s="1"/>
  <c r="Q100" i="8"/>
  <c r="Q81" i="8"/>
  <c r="Q83" i="8" s="1"/>
  <c r="Q122" i="8" s="1"/>
  <c r="Q82" i="8"/>
  <c r="Q111" i="8" s="1"/>
  <c r="T101" i="8"/>
  <c r="T87" i="8"/>
  <c r="T89" i="8" s="1"/>
  <c r="T123" i="8" s="1"/>
  <c r="T88" i="8"/>
  <c r="T112" i="8" s="1"/>
  <c r="V80" i="8"/>
  <c r="R57" i="6"/>
  <c r="R59" i="6" s="1"/>
  <c r="R51" i="6"/>
  <c r="R79" i="8" s="1"/>
  <c r="Q60" i="6"/>
  <c r="T58" i="6"/>
  <c r="T52" i="6"/>
  <c r="V32" i="6"/>
  <c r="U35" i="6"/>
  <c r="U85" i="8" s="1"/>
  <c r="T38" i="6"/>
  <c r="T39" i="6" s="1"/>
  <c r="S41" i="6"/>
  <c r="S53" i="6" s="1"/>
  <c r="S8" i="7" s="1"/>
  <c r="W37" i="6"/>
  <c r="G99" i="8"/>
  <c r="G102" i="8" s="1"/>
  <c r="K7" i="8"/>
  <c r="K16" i="8" s="1"/>
  <c r="K94" i="8" s="1"/>
  <c r="O96" i="7"/>
  <c r="J49" i="7"/>
  <c r="AJ48" i="2"/>
  <c r="AH40" i="2"/>
  <c r="AG42" i="2"/>
  <c r="AG33" i="2"/>
  <c r="AH22" i="2"/>
  <c r="AH9" i="2"/>
  <c r="AI8" i="2"/>
  <c r="N95" i="7"/>
  <c r="N17" i="7" s="1"/>
  <c r="K56" i="7"/>
  <c r="K62" i="7"/>
  <c r="X15" i="1" s="1"/>
  <c r="L104" i="7"/>
  <c r="N106" i="7"/>
  <c r="M105" i="7"/>
  <c r="M31" i="7" s="1"/>
  <c r="L29" i="7"/>
  <c r="L16" i="6"/>
  <c r="L7" i="7" s="1"/>
  <c r="L9" i="7" s="1"/>
  <c r="L7" i="18" s="1"/>
  <c r="M94" i="7"/>
  <c r="K30" i="7"/>
  <c r="G114" i="8"/>
  <c r="G128" i="8" s="1"/>
  <c r="G138" i="8" s="1"/>
  <c r="G135" i="8" s="1"/>
  <c r="U64" i="8"/>
  <c r="T66" i="8"/>
  <c r="T109" i="8" s="1"/>
  <c r="T67" i="8"/>
  <c r="T120" i="8" s="1"/>
  <c r="X71" i="8"/>
  <c r="Y52" i="8"/>
  <c r="W34" i="8"/>
  <c r="W17" i="8"/>
  <c r="W67" i="7"/>
  <c r="V63" i="7"/>
  <c r="U38" i="7"/>
  <c r="W39" i="7"/>
  <c r="W40" i="7" s="1"/>
  <c r="V11" i="7"/>
  <c r="N9" i="6"/>
  <c r="N76" i="7" s="1"/>
  <c r="AA24" i="1" s="1"/>
  <c r="M12" i="6"/>
  <c r="M14" i="6" s="1"/>
  <c r="K47" i="7" l="1"/>
  <c r="K9" i="8" s="1"/>
  <c r="K46" i="8" s="1"/>
  <c r="L22" i="7"/>
  <c r="L42" i="7" s="1"/>
  <c r="Y16" i="1" s="1"/>
  <c r="D24" i="13"/>
  <c r="D44" i="13" s="1"/>
  <c r="O22" i="6"/>
  <c r="O11" i="6" s="1"/>
  <c r="P21" i="6"/>
  <c r="H72" i="8"/>
  <c r="H99" i="8" s="1"/>
  <c r="K8" i="18"/>
  <c r="K24" i="18" s="1"/>
  <c r="W8" i="1"/>
  <c r="K8" i="8"/>
  <c r="K38" i="8" s="1"/>
  <c r="K96" i="8" s="1"/>
  <c r="J16" i="8"/>
  <c r="J24" i="8" s="1"/>
  <c r="J105" i="8" s="1"/>
  <c r="J46" i="8"/>
  <c r="J113" i="8" s="1"/>
  <c r="V8" i="1"/>
  <c r="J33" i="18"/>
  <c r="J58" i="7" s="1"/>
  <c r="J59" i="7" s="1"/>
  <c r="I33" i="18"/>
  <c r="I58" i="7" s="1"/>
  <c r="I59" i="7" s="1"/>
  <c r="I25" i="8"/>
  <c r="I113" i="8" s="1"/>
  <c r="J70" i="7"/>
  <c r="W13" i="3" s="1"/>
  <c r="K36" i="7"/>
  <c r="X9" i="3" s="1"/>
  <c r="W23" i="18"/>
  <c r="H97" i="8"/>
  <c r="H56" i="8"/>
  <c r="H108" i="8" s="1"/>
  <c r="H55" i="8"/>
  <c r="H57" i="8" s="1"/>
  <c r="H119" i="8" s="1"/>
  <c r="I35" i="8"/>
  <c r="I47" i="8" s="1"/>
  <c r="I118" i="8" s="1"/>
  <c r="I44" i="8"/>
  <c r="I106" i="8" s="1"/>
  <c r="M22" i="7"/>
  <c r="M42" i="7" s="1"/>
  <c r="Z16" i="1" s="1"/>
  <c r="I95" i="8"/>
  <c r="I16" i="8"/>
  <c r="I94" i="8" s="1"/>
  <c r="V36" i="6"/>
  <c r="V35" i="6" s="1"/>
  <c r="V85" i="8" s="1"/>
  <c r="V15" i="1"/>
  <c r="L23" i="7"/>
  <c r="L24" i="7" s="1"/>
  <c r="P25" i="6"/>
  <c r="P19" i="7" s="1"/>
  <c r="M68" i="7"/>
  <c r="Z18" i="1" s="1"/>
  <c r="W101" i="7"/>
  <c r="U99" i="7"/>
  <c r="V100" i="7"/>
  <c r="V18" i="7" s="1"/>
  <c r="N22" i="7"/>
  <c r="R100" i="8"/>
  <c r="R81" i="8"/>
  <c r="R83" i="8" s="1"/>
  <c r="R122" i="8" s="1"/>
  <c r="R82" i="8"/>
  <c r="R111" i="8" s="1"/>
  <c r="U101" i="8"/>
  <c r="U87" i="8"/>
  <c r="U89" i="8" s="1"/>
  <c r="U123" i="8" s="1"/>
  <c r="U88" i="8"/>
  <c r="U112" i="8" s="1"/>
  <c r="W80" i="8"/>
  <c r="K33" i="8"/>
  <c r="R60" i="6"/>
  <c r="U58" i="6"/>
  <c r="U52" i="6"/>
  <c r="S48" i="6"/>
  <c r="S57" i="7" s="1"/>
  <c r="S56" i="6"/>
  <c r="S49" i="6"/>
  <c r="S64" i="7" s="1"/>
  <c r="AF17" i="1" s="1"/>
  <c r="U38" i="6"/>
  <c r="U39" i="6" s="1"/>
  <c r="W32" i="6"/>
  <c r="W36" i="6" s="1"/>
  <c r="X37" i="6"/>
  <c r="T41" i="6"/>
  <c r="T53" i="6" s="1"/>
  <c r="T8" i="7" s="1"/>
  <c r="K24" i="8"/>
  <c r="K105" i="8" s="1"/>
  <c r="N23" i="7"/>
  <c r="K70" i="7"/>
  <c r="X13" i="3" s="1"/>
  <c r="X19" i="1"/>
  <c r="AK48" i="2"/>
  <c r="AH42" i="2"/>
  <c r="AI40" i="2"/>
  <c r="AH33" i="2"/>
  <c r="AI22" i="2"/>
  <c r="AI9" i="2"/>
  <c r="AJ8" i="2"/>
  <c r="L7" i="8"/>
  <c r="O95" i="7"/>
  <c r="O17" i="7" s="1"/>
  <c r="L62" i="7"/>
  <c r="L56" i="7"/>
  <c r="P96" i="7"/>
  <c r="J49" i="8"/>
  <c r="J53" i="8" s="1"/>
  <c r="J35" i="8"/>
  <c r="J47" i="8" s="1"/>
  <c r="J118" i="8" s="1"/>
  <c r="J95" i="8"/>
  <c r="J44" i="8"/>
  <c r="J106" i="8" s="1"/>
  <c r="I97" i="8"/>
  <c r="I55" i="8"/>
  <c r="I57" i="8" s="1"/>
  <c r="I119" i="8" s="1"/>
  <c r="I56" i="8"/>
  <c r="I108" i="8" s="1"/>
  <c r="O106" i="7"/>
  <c r="M104" i="7"/>
  <c r="N105" i="7"/>
  <c r="N31" i="7" s="1"/>
  <c r="L30" i="7"/>
  <c r="M29" i="7"/>
  <c r="M16" i="6"/>
  <c r="M7" i="7" s="1"/>
  <c r="M9" i="7" s="1"/>
  <c r="M7" i="18" s="1"/>
  <c r="N94" i="7"/>
  <c r="G131" i="8"/>
  <c r="G78" i="7"/>
  <c r="T27" i="1" s="1"/>
  <c r="V64" i="8"/>
  <c r="U66" i="8"/>
  <c r="U109" i="8" s="1"/>
  <c r="U67" i="8"/>
  <c r="U120" i="8" s="1"/>
  <c r="Y71" i="8"/>
  <c r="X34" i="8"/>
  <c r="X17" i="8"/>
  <c r="X67" i="7"/>
  <c r="W63" i="7"/>
  <c r="X39" i="7"/>
  <c r="X40" i="7" s="1"/>
  <c r="V38" i="7"/>
  <c r="W11" i="7"/>
  <c r="O9" i="6"/>
  <c r="O76" i="7" s="1"/>
  <c r="AB24" i="1" s="1"/>
  <c r="N12" i="6"/>
  <c r="N14" i="6" s="1"/>
  <c r="K25" i="8" l="1"/>
  <c r="K113" i="8" s="1"/>
  <c r="K49" i="7"/>
  <c r="K46" i="7"/>
  <c r="K9" i="18"/>
  <c r="K45" i="7"/>
  <c r="P22" i="6"/>
  <c r="P11" i="6" s="1"/>
  <c r="Q21" i="6"/>
  <c r="J94" i="8"/>
  <c r="H74" i="8"/>
  <c r="H76" i="8" s="1"/>
  <c r="H121" i="8" s="1"/>
  <c r="H124" i="8" s="1"/>
  <c r="H133" i="8" s="1"/>
  <c r="H75" i="8"/>
  <c r="H110" i="8" s="1"/>
  <c r="H114" i="8" s="1"/>
  <c r="H128" i="8" s="1"/>
  <c r="H138" i="8" s="1"/>
  <c r="H135" i="8" s="1"/>
  <c r="H102" i="8"/>
  <c r="K31" i="18"/>
  <c r="K49" i="8"/>
  <c r="K53" i="8" s="1"/>
  <c r="K59" i="8" s="1"/>
  <c r="K17" i="18"/>
  <c r="K40" i="8"/>
  <c r="K19" i="8"/>
  <c r="K26" i="8" s="1"/>
  <c r="K117" i="8" s="1"/>
  <c r="K45" i="8"/>
  <c r="K107" i="8" s="1"/>
  <c r="X8" i="1"/>
  <c r="W9" i="1"/>
  <c r="W11" i="1" s="1"/>
  <c r="W21" i="1" s="1"/>
  <c r="J74" i="7"/>
  <c r="J72" i="7"/>
  <c r="W10" i="3"/>
  <c r="W11" i="3" s="1"/>
  <c r="V10" i="3"/>
  <c r="V9" i="1"/>
  <c r="V11" i="1" s="1"/>
  <c r="I72" i="7"/>
  <c r="I74" i="7"/>
  <c r="L8" i="18"/>
  <c r="L8" i="8"/>
  <c r="L38" i="8" s="1"/>
  <c r="L40" i="8" s="1"/>
  <c r="X23" i="18"/>
  <c r="I59" i="8"/>
  <c r="J19" i="8"/>
  <c r="J26" i="8" s="1"/>
  <c r="J117" i="8" s="1"/>
  <c r="I24" i="8"/>
  <c r="I105" i="8" s="1"/>
  <c r="M24" i="7"/>
  <c r="I19" i="8"/>
  <c r="I26" i="8" s="1"/>
  <c r="I117" i="8" s="1"/>
  <c r="L68" i="7"/>
  <c r="Y18" i="1" s="1"/>
  <c r="H18" i="10" s="1"/>
  <c r="V19" i="1"/>
  <c r="G15" i="10"/>
  <c r="D19" i="13"/>
  <c r="L33" i="7"/>
  <c r="L47" i="7" s="1"/>
  <c r="N24" i="7"/>
  <c r="N68" i="7"/>
  <c r="AA18" i="1" s="1"/>
  <c r="Q25" i="6"/>
  <c r="Q19" i="7" s="1"/>
  <c r="V87" i="8"/>
  <c r="V89" i="8" s="1"/>
  <c r="V123" i="8" s="1"/>
  <c r="V101" i="8"/>
  <c r="V88" i="8"/>
  <c r="V112" i="8" s="1"/>
  <c r="O22" i="7"/>
  <c r="X101" i="7"/>
  <c r="W100" i="7"/>
  <c r="W18" i="7" s="1"/>
  <c r="V99" i="7"/>
  <c r="X80" i="8"/>
  <c r="K44" i="8"/>
  <c r="K106" i="8" s="1"/>
  <c r="K95" i="8"/>
  <c r="K35" i="8"/>
  <c r="V58" i="6"/>
  <c r="V52" i="6"/>
  <c r="S57" i="6"/>
  <c r="S59" i="6" s="1"/>
  <c r="S60" i="6" s="1"/>
  <c r="S51" i="6"/>
  <c r="S79" i="8" s="1"/>
  <c r="X32" i="6"/>
  <c r="W35" i="6"/>
  <c r="W85" i="8" s="1"/>
  <c r="V38" i="6"/>
  <c r="V39" i="6" s="1"/>
  <c r="V41" i="6" s="1"/>
  <c r="V53" i="6" s="1"/>
  <c r="V8" i="7" s="1"/>
  <c r="T48" i="6"/>
  <c r="T57" i="7" s="1"/>
  <c r="T56" i="6"/>
  <c r="T49" i="6"/>
  <c r="T64" i="7" s="1"/>
  <c r="AG17" i="1" s="1"/>
  <c r="U41" i="6"/>
  <c r="U53" i="6" s="1"/>
  <c r="U8" i="7" s="1"/>
  <c r="Y37" i="6"/>
  <c r="N42" i="7"/>
  <c r="AA16" i="1" s="1"/>
  <c r="O23" i="7"/>
  <c r="M7" i="8"/>
  <c r="M33" i="8" s="1"/>
  <c r="M95" i="8" s="1"/>
  <c r="Q96" i="7"/>
  <c r="Y15" i="1"/>
  <c r="AJ40" i="2"/>
  <c r="AI42" i="2"/>
  <c r="AI33" i="2"/>
  <c r="AJ22" i="2"/>
  <c r="AJ9" i="2"/>
  <c r="AK8" i="2"/>
  <c r="AK9" i="2" s="1"/>
  <c r="O94" i="7"/>
  <c r="M56" i="7"/>
  <c r="L16" i="8"/>
  <c r="L33" i="8"/>
  <c r="P95" i="7"/>
  <c r="P17" i="7" s="1"/>
  <c r="M62" i="7"/>
  <c r="J59" i="8"/>
  <c r="J72" i="8" s="1"/>
  <c r="J97" i="8"/>
  <c r="J56" i="8"/>
  <c r="J108" i="8" s="1"/>
  <c r="J55" i="8"/>
  <c r="J57" i="8" s="1"/>
  <c r="J119" i="8" s="1"/>
  <c r="N29" i="7"/>
  <c r="N16" i="6"/>
  <c r="N7" i="7" s="1"/>
  <c r="O105" i="7"/>
  <c r="O31" i="7" s="1"/>
  <c r="P106" i="7"/>
  <c r="N104" i="7"/>
  <c r="M30" i="7"/>
  <c r="G77" i="7"/>
  <c r="G79" i="7"/>
  <c r="W64" i="8"/>
  <c r="V66" i="8"/>
  <c r="V109" i="8" s="1"/>
  <c r="V67" i="8"/>
  <c r="V120" i="8" s="1"/>
  <c r="Y34" i="8"/>
  <c r="Y17" i="8"/>
  <c r="Y67" i="7"/>
  <c r="X63" i="7"/>
  <c r="W38" i="7"/>
  <c r="X38" i="7" s="1"/>
  <c r="Y38" i="7" s="1"/>
  <c r="Y39" i="7"/>
  <c r="Y40" i="7" s="1"/>
  <c r="X11" i="7"/>
  <c r="Y11" i="7" s="1"/>
  <c r="P9" i="6"/>
  <c r="P76" i="7" s="1"/>
  <c r="AC24" i="1" s="1"/>
  <c r="O12" i="6"/>
  <c r="O14" i="6" s="1"/>
  <c r="Q22" i="6" l="1"/>
  <c r="Q11" i="6" s="1"/>
  <c r="R21" i="6"/>
  <c r="K72" i="8"/>
  <c r="K99" i="8" s="1"/>
  <c r="I72" i="8"/>
  <c r="I99" i="8" s="1"/>
  <c r="I102" i="8" s="1"/>
  <c r="C41" i="13" s="1"/>
  <c r="K33" i="18"/>
  <c r="K58" i="7" s="1"/>
  <c r="K59" i="7" s="1"/>
  <c r="X10" i="3" s="1"/>
  <c r="X11" i="3" s="1"/>
  <c r="K55" i="8"/>
  <c r="K57" i="8" s="1"/>
  <c r="K119" i="8" s="1"/>
  <c r="K56" i="8"/>
  <c r="K108" i="8" s="1"/>
  <c r="K97" i="8"/>
  <c r="K47" i="8"/>
  <c r="K118" i="8" s="1"/>
  <c r="H131" i="8"/>
  <c r="H129" i="8" s="1"/>
  <c r="H80" i="7" s="1"/>
  <c r="U30" i="1" s="1"/>
  <c r="H78" i="7"/>
  <c r="U27" i="1" s="1"/>
  <c r="L96" i="8"/>
  <c r="V11" i="3"/>
  <c r="L45" i="8"/>
  <c r="L107" i="8" s="1"/>
  <c r="L49" i="7"/>
  <c r="L9" i="18"/>
  <c r="N33" i="7"/>
  <c r="N47" i="7" s="1"/>
  <c r="N8" i="18"/>
  <c r="N8" i="8"/>
  <c r="N38" i="8" s="1"/>
  <c r="L70" i="7"/>
  <c r="Y13" i="3" s="1"/>
  <c r="M33" i="7"/>
  <c r="M47" i="7" s="1"/>
  <c r="M49" i="7" s="1"/>
  <c r="M8" i="18"/>
  <c r="M8" i="8"/>
  <c r="M38" i="8" s="1"/>
  <c r="M49" i="8" s="1"/>
  <c r="M53" i="8" s="1"/>
  <c r="L17" i="18"/>
  <c r="L31" i="18"/>
  <c r="L24" i="18"/>
  <c r="Y23" i="18"/>
  <c r="D26" i="13"/>
  <c r="V21" i="1"/>
  <c r="X36" i="6"/>
  <c r="X35" i="6" s="1"/>
  <c r="X85" i="8" s="1"/>
  <c r="D21" i="13"/>
  <c r="N9" i="7"/>
  <c r="L36" i="7"/>
  <c r="L9" i="8"/>
  <c r="L46" i="7"/>
  <c r="L45" i="7"/>
  <c r="O24" i="7"/>
  <c r="R25" i="6"/>
  <c r="R19" i="7" s="1"/>
  <c r="Y101" i="7"/>
  <c r="X100" i="7"/>
  <c r="X18" i="7" s="1"/>
  <c r="G25" i="13" s="1"/>
  <c r="G45" i="13" s="1"/>
  <c r="W99" i="7"/>
  <c r="W101" i="8"/>
  <c r="W87" i="8"/>
  <c r="W89" i="8" s="1"/>
  <c r="W123" i="8" s="1"/>
  <c r="W88" i="8"/>
  <c r="W112" i="8" s="1"/>
  <c r="S100" i="8"/>
  <c r="S81" i="8"/>
  <c r="S83" i="8" s="1"/>
  <c r="S122" i="8" s="1"/>
  <c r="S82" i="8"/>
  <c r="S111" i="8" s="1"/>
  <c r="O42" i="7"/>
  <c r="P23" i="7"/>
  <c r="P68" i="7" s="1"/>
  <c r="P22" i="7"/>
  <c r="Y100" i="7"/>
  <c r="Y18" i="7" s="1"/>
  <c r="D25" i="13" s="1"/>
  <c r="D45" i="13" s="1"/>
  <c r="X99" i="7"/>
  <c r="Y80" i="8"/>
  <c r="W58" i="6"/>
  <c r="W52" i="6"/>
  <c r="T57" i="6"/>
  <c r="T59" i="6" s="1"/>
  <c r="T51" i="6"/>
  <c r="T79" i="8" s="1"/>
  <c r="V48" i="6"/>
  <c r="V57" i="7" s="1"/>
  <c r="V49" i="6"/>
  <c r="V64" i="7" s="1"/>
  <c r="AI17" i="1" s="1"/>
  <c r="V56" i="6"/>
  <c r="W38" i="6"/>
  <c r="W39" i="6" s="1"/>
  <c r="U48" i="6"/>
  <c r="U57" i="7" s="1"/>
  <c r="U56" i="6"/>
  <c r="U49" i="6"/>
  <c r="U64" i="7" s="1"/>
  <c r="AH17" i="1" s="1"/>
  <c r="Y32" i="6"/>
  <c r="Y36" i="6" s="1"/>
  <c r="O68" i="7"/>
  <c r="AB18" i="1" s="1"/>
  <c r="M16" i="8"/>
  <c r="M94" i="8" s="1"/>
  <c r="M44" i="8"/>
  <c r="M106" i="8" s="1"/>
  <c r="M35" i="8"/>
  <c r="T28" i="1"/>
  <c r="T26" i="1"/>
  <c r="T14" i="3"/>
  <c r="Z15" i="1"/>
  <c r="Z19" i="1" s="1"/>
  <c r="M70" i="7"/>
  <c r="Z13" i="3" s="1"/>
  <c r="Y19" i="1"/>
  <c r="AK40" i="2"/>
  <c r="AK42" i="2" s="1"/>
  <c r="AJ42" i="2"/>
  <c r="AJ33" i="2"/>
  <c r="AK22" i="2"/>
  <c r="AK33" i="2" s="1"/>
  <c r="L44" i="8"/>
  <c r="L106" i="8" s="1"/>
  <c r="L95" i="8"/>
  <c r="L49" i="8"/>
  <c r="L53" i="8" s="1"/>
  <c r="L59" i="8" s="1"/>
  <c r="L72" i="8" s="1"/>
  <c r="L35" i="8"/>
  <c r="L47" i="8" s="1"/>
  <c r="L118" i="8" s="1"/>
  <c r="L94" i="8"/>
  <c r="L19" i="8"/>
  <c r="L26" i="8" s="1"/>
  <c r="L117" i="8" s="1"/>
  <c r="L24" i="8"/>
  <c r="L105" i="8" s="1"/>
  <c r="J75" i="8"/>
  <c r="J110" i="8" s="1"/>
  <c r="J114" i="8" s="1"/>
  <c r="J128" i="8" s="1"/>
  <c r="J99" i="8"/>
  <c r="J102" i="8" s="1"/>
  <c r="Q106" i="7"/>
  <c r="P105" i="7"/>
  <c r="P31" i="7" s="1"/>
  <c r="O104" i="7"/>
  <c r="N30" i="7"/>
  <c r="O16" i="6"/>
  <c r="O7" i="7" s="1"/>
  <c r="O9" i="7" s="1"/>
  <c r="O7" i="18" s="1"/>
  <c r="O29" i="7"/>
  <c r="X64" i="8"/>
  <c r="W66" i="8"/>
  <c r="W109" i="8" s="1"/>
  <c r="W67" i="8"/>
  <c r="W120" i="8" s="1"/>
  <c r="Y63" i="7"/>
  <c r="Q9" i="6"/>
  <c r="Q76" i="7" s="1"/>
  <c r="AD24" i="1" s="1"/>
  <c r="P12" i="6"/>
  <c r="P14" i="6" s="1"/>
  <c r="R22" i="6" l="1"/>
  <c r="R11" i="6" s="1"/>
  <c r="S21" i="6"/>
  <c r="I75" i="8"/>
  <c r="I110" i="8" s="1"/>
  <c r="I114" i="8" s="1"/>
  <c r="I128" i="8" s="1"/>
  <c r="I78" i="7" s="1"/>
  <c r="I79" i="7" s="1"/>
  <c r="J74" i="8"/>
  <c r="J76" i="8" s="1"/>
  <c r="J121" i="8" s="1"/>
  <c r="J124" i="8" s="1"/>
  <c r="J133" i="8" s="1"/>
  <c r="K74" i="8"/>
  <c r="K76" i="8" s="1"/>
  <c r="K121" i="8" s="1"/>
  <c r="K124" i="8" s="1"/>
  <c r="K133" i="8" s="1"/>
  <c r="K75" i="8"/>
  <c r="K110" i="8" s="1"/>
  <c r="K114" i="8" s="1"/>
  <c r="K128" i="8" s="1"/>
  <c r="K138" i="8" s="1"/>
  <c r="K135" i="8" s="1"/>
  <c r="I74" i="8"/>
  <c r="I76" i="8" s="1"/>
  <c r="I121" i="8" s="1"/>
  <c r="I124" i="8" s="1"/>
  <c r="I133" i="8" s="1"/>
  <c r="K102" i="8"/>
  <c r="H77" i="7"/>
  <c r="U26" i="1" s="1"/>
  <c r="X9" i="1"/>
  <c r="X11" i="1" s="1"/>
  <c r="X21" i="1" s="1"/>
  <c r="K74" i="7"/>
  <c r="K72" i="7"/>
  <c r="H79" i="7"/>
  <c r="U28" i="1" s="1"/>
  <c r="L33" i="18"/>
  <c r="L58" i="7" s="1"/>
  <c r="L59" i="7" s="1"/>
  <c r="M36" i="7"/>
  <c r="M9" i="8"/>
  <c r="M46" i="8" s="1"/>
  <c r="M45" i="7"/>
  <c r="O33" i="7"/>
  <c r="O47" i="7" s="1"/>
  <c r="O8" i="18"/>
  <c r="O8" i="8"/>
  <c r="O38" i="8" s="1"/>
  <c r="N9" i="8"/>
  <c r="N25" i="8" s="1"/>
  <c r="N9" i="18"/>
  <c r="N45" i="8"/>
  <c r="N107" i="8" s="1"/>
  <c r="N96" i="8"/>
  <c r="N40" i="8"/>
  <c r="N17" i="18"/>
  <c r="N31" i="18"/>
  <c r="N24" i="18"/>
  <c r="M96" i="8"/>
  <c r="M45" i="8"/>
  <c r="M107" i="8" s="1"/>
  <c r="M40" i="8"/>
  <c r="M47" i="8" s="1"/>
  <c r="M118" i="8" s="1"/>
  <c r="N7" i="8"/>
  <c r="N33" i="8" s="1"/>
  <c r="N7" i="18"/>
  <c r="H13" i="12"/>
  <c r="M17" i="18"/>
  <c r="M31" i="18"/>
  <c r="M24" i="18"/>
  <c r="M46" i="7"/>
  <c r="M9" i="18"/>
  <c r="N56" i="7"/>
  <c r="R96" i="7"/>
  <c r="N62" i="7"/>
  <c r="AA15" i="1" s="1"/>
  <c r="Q95" i="7"/>
  <c r="Q17" i="7" s="1"/>
  <c r="P94" i="7"/>
  <c r="Y9" i="3"/>
  <c r="Y8" i="1"/>
  <c r="L46" i="8"/>
  <c r="L25" i="8"/>
  <c r="P42" i="7"/>
  <c r="P24" i="7"/>
  <c r="S25" i="6"/>
  <c r="S19" i="7" s="1"/>
  <c r="AB16" i="1"/>
  <c r="X101" i="8"/>
  <c r="X87" i="8"/>
  <c r="X89" i="8" s="1"/>
  <c r="X123" i="8" s="1"/>
  <c r="X88" i="8"/>
  <c r="X112" i="8" s="1"/>
  <c r="T60" i="6"/>
  <c r="T100" i="8"/>
  <c r="T81" i="8"/>
  <c r="T83" i="8" s="1"/>
  <c r="T122" i="8" s="1"/>
  <c r="T82" i="8"/>
  <c r="T111" i="8" s="1"/>
  <c r="N46" i="7"/>
  <c r="N45" i="7"/>
  <c r="V57" i="6"/>
  <c r="V59" i="6" s="1"/>
  <c r="V51" i="6"/>
  <c r="V79" i="8" s="1"/>
  <c r="U57" i="6"/>
  <c r="U59" i="6" s="1"/>
  <c r="U51" i="6"/>
  <c r="U79" i="8" s="1"/>
  <c r="X58" i="6"/>
  <c r="X52" i="6"/>
  <c r="W41" i="6"/>
  <c r="W53" i="6" s="1"/>
  <c r="W8" i="7" s="1"/>
  <c r="Y35" i="6"/>
  <c r="X38" i="6"/>
  <c r="X39" i="6" s="1"/>
  <c r="M59" i="8"/>
  <c r="M97" i="8"/>
  <c r="M55" i="8"/>
  <c r="M57" i="8" s="1"/>
  <c r="M119" i="8" s="1"/>
  <c r="M56" i="8"/>
  <c r="M108" i="8" s="1"/>
  <c r="M24" i="8"/>
  <c r="M105" i="8" s="1"/>
  <c r="H15" i="10"/>
  <c r="T29" i="1"/>
  <c r="L99" i="8"/>
  <c r="L75" i="8"/>
  <c r="L110" i="8" s="1"/>
  <c r="N49" i="7"/>
  <c r="N36" i="7"/>
  <c r="AA9" i="3" s="1"/>
  <c r="AC18" i="1"/>
  <c r="L97" i="8"/>
  <c r="L56" i="8"/>
  <c r="L108" i="8" s="1"/>
  <c r="L55" i="8"/>
  <c r="L57" i="8" s="1"/>
  <c r="L119" i="8" s="1"/>
  <c r="L74" i="8"/>
  <c r="O7" i="8"/>
  <c r="O56" i="7"/>
  <c r="S96" i="7"/>
  <c r="O62" i="7"/>
  <c r="Q94" i="7"/>
  <c r="R95" i="7"/>
  <c r="R17" i="7" s="1"/>
  <c r="P29" i="7"/>
  <c r="P16" i="6"/>
  <c r="P7" i="7" s="1"/>
  <c r="P9" i="7" s="1"/>
  <c r="P7" i="18" s="1"/>
  <c r="J138" i="8"/>
  <c r="J135" i="8" s="1"/>
  <c r="J131" i="8"/>
  <c r="J78" i="7"/>
  <c r="R106" i="7"/>
  <c r="P104" i="7"/>
  <c r="Q105" i="7"/>
  <c r="Q31" i="7" s="1"/>
  <c r="O30" i="7"/>
  <c r="Y64" i="8"/>
  <c r="X66" i="8"/>
  <c r="X109" i="8" s="1"/>
  <c r="X67" i="8"/>
  <c r="X120" i="8" s="1"/>
  <c r="R9" i="6"/>
  <c r="R76" i="7" s="1"/>
  <c r="AE24" i="1" s="1"/>
  <c r="Q12" i="6"/>
  <c r="Q14" i="6" s="1"/>
  <c r="S22" i="6" l="1"/>
  <c r="S11" i="6" s="1"/>
  <c r="T21" i="6"/>
  <c r="I138" i="8"/>
  <c r="I135" i="8" s="1"/>
  <c r="I131" i="8"/>
  <c r="K78" i="7"/>
  <c r="X27" i="1" s="1"/>
  <c r="K131" i="8"/>
  <c r="K129" i="8" s="1"/>
  <c r="K80" i="7" s="1"/>
  <c r="X30" i="1" s="1"/>
  <c r="U29" i="1"/>
  <c r="U31" i="1" s="1"/>
  <c r="U33" i="1" s="1"/>
  <c r="U35" i="1" s="1"/>
  <c r="U41" i="1" s="1"/>
  <c r="U14" i="3"/>
  <c r="M72" i="8"/>
  <c r="M99" i="8" s="1"/>
  <c r="M102" i="8" s="1"/>
  <c r="D41" i="13" s="1"/>
  <c r="L76" i="8"/>
  <c r="L121" i="8" s="1"/>
  <c r="L124" i="8" s="1"/>
  <c r="L133" i="8" s="1"/>
  <c r="H82" i="7"/>
  <c r="H86" i="7" s="1"/>
  <c r="U15" i="3"/>
  <c r="I77" i="7"/>
  <c r="V14" i="3" s="1"/>
  <c r="V27" i="1"/>
  <c r="M25" i="8"/>
  <c r="M113" i="8" s="1"/>
  <c r="N16" i="8"/>
  <c r="N94" i="8" s="1"/>
  <c r="O36" i="7"/>
  <c r="AB9" i="3" s="1"/>
  <c r="Y10" i="3"/>
  <c r="Y11" i="3" s="1"/>
  <c r="Y9" i="1"/>
  <c r="Y11" i="1" s="1"/>
  <c r="Y21" i="1" s="1"/>
  <c r="L74" i="7"/>
  <c r="L72" i="7"/>
  <c r="N33" i="18"/>
  <c r="N58" i="7" s="1"/>
  <c r="N59" i="7" s="1"/>
  <c r="M33" i="18"/>
  <c r="M58" i="7" s="1"/>
  <c r="M59" i="7" s="1"/>
  <c r="N46" i="8"/>
  <c r="N113" i="8" s="1"/>
  <c r="Z9" i="3"/>
  <c r="H9" i="12" s="1"/>
  <c r="Z8" i="1"/>
  <c r="H8" i="10" s="1"/>
  <c r="D29" i="13" s="1"/>
  <c r="O9" i="8"/>
  <c r="O46" i="8" s="1"/>
  <c r="O9" i="18"/>
  <c r="O45" i="8"/>
  <c r="O107" i="8" s="1"/>
  <c r="O96" i="8"/>
  <c r="O40" i="8"/>
  <c r="P33" i="7"/>
  <c r="P47" i="7" s="1"/>
  <c r="P8" i="18"/>
  <c r="P8" i="8"/>
  <c r="P38" i="8" s="1"/>
  <c r="O17" i="18"/>
  <c r="O31" i="18"/>
  <c r="O24" i="18"/>
  <c r="Q23" i="7"/>
  <c r="Q68" i="7" s="1"/>
  <c r="AD18" i="1" s="1"/>
  <c r="I18" i="10" s="1"/>
  <c r="N70" i="7"/>
  <c r="AA13" i="3" s="1"/>
  <c r="Q22" i="7"/>
  <c r="Q42" i="7" s="1"/>
  <c r="Y99" i="7"/>
  <c r="O46" i="7"/>
  <c r="O45" i="7"/>
  <c r="L113" i="8"/>
  <c r="L114" i="8" s="1"/>
  <c r="L128" i="8" s="1"/>
  <c r="L138" i="8" s="1"/>
  <c r="L135" i="8" s="1"/>
  <c r="AC16" i="1"/>
  <c r="T25" i="6"/>
  <c r="T19" i="7" s="1"/>
  <c r="V60" i="6"/>
  <c r="U81" i="8"/>
  <c r="U83" i="8" s="1"/>
  <c r="U122" i="8" s="1"/>
  <c r="U100" i="8"/>
  <c r="U82" i="8"/>
  <c r="U111" i="8" s="1"/>
  <c r="Y52" i="6"/>
  <c r="Y85" i="8"/>
  <c r="V100" i="8"/>
  <c r="V81" i="8"/>
  <c r="V83" i="8" s="1"/>
  <c r="V122" i="8" s="1"/>
  <c r="V82" i="8"/>
  <c r="V111" i="8" s="1"/>
  <c r="R22" i="7"/>
  <c r="U60" i="6"/>
  <c r="L102" i="8"/>
  <c r="Y38" i="6"/>
  <c r="Y39" i="6" s="1"/>
  <c r="Y41" i="6" s="1"/>
  <c r="Y53" i="6" s="1"/>
  <c r="Y8" i="7" s="1"/>
  <c r="F20" i="13" s="1"/>
  <c r="Y58" i="6"/>
  <c r="X41" i="6"/>
  <c r="X53" i="6" s="1"/>
  <c r="X8" i="7" s="1"/>
  <c r="W48" i="6"/>
  <c r="W57" i="7" s="1"/>
  <c r="W49" i="6"/>
  <c r="W64" i="7" s="1"/>
  <c r="AJ17" i="1" s="1"/>
  <c r="W56" i="6"/>
  <c r="AA8" i="1"/>
  <c r="AB15" i="1"/>
  <c r="AB19" i="1" s="1"/>
  <c r="O70" i="7"/>
  <c r="AB13" i="3" s="1"/>
  <c r="AA19" i="1"/>
  <c r="V28" i="1"/>
  <c r="P7" i="8"/>
  <c r="P56" i="7"/>
  <c r="T96" i="7"/>
  <c r="S95" i="7"/>
  <c r="S17" i="7" s="1"/>
  <c r="R94" i="7"/>
  <c r="P62" i="7"/>
  <c r="R23" i="7"/>
  <c r="Q16" i="6"/>
  <c r="Q7" i="7" s="1"/>
  <c r="Q9" i="7" s="1"/>
  <c r="Q7" i="18" s="1"/>
  <c r="Q29" i="7"/>
  <c r="W27" i="1"/>
  <c r="J79" i="7"/>
  <c r="J77" i="7"/>
  <c r="W14" i="3" s="1"/>
  <c r="N35" i="8"/>
  <c r="N47" i="8" s="1"/>
  <c r="N118" i="8" s="1"/>
  <c r="N49" i="8"/>
  <c r="N53" i="8" s="1"/>
  <c r="N44" i="8"/>
  <c r="N106" i="8" s="1"/>
  <c r="N95" i="8"/>
  <c r="J129" i="8"/>
  <c r="J80" i="7" s="1"/>
  <c r="W30" i="1" s="1"/>
  <c r="S106" i="7"/>
  <c r="R105" i="7"/>
  <c r="R31" i="7" s="1"/>
  <c r="Q104" i="7"/>
  <c r="P30" i="7"/>
  <c r="O33" i="8"/>
  <c r="O16" i="8"/>
  <c r="O49" i="7"/>
  <c r="Y66" i="8"/>
  <c r="Y109" i="8" s="1"/>
  <c r="Y67" i="8"/>
  <c r="Y120" i="8" s="1"/>
  <c r="S9" i="6"/>
  <c r="S76" i="7" s="1"/>
  <c r="AF24" i="1" s="1"/>
  <c r="R12" i="6"/>
  <c r="R14" i="6" s="1"/>
  <c r="T22" i="6" l="1"/>
  <c r="T11" i="6" s="1"/>
  <c r="U21" i="6"/>
  <c r="I129" i="8"/>
  <c r="I80" i="7" s="1"/>
  <c r="V30" i="1" s="1"/>
  <c r="K79" i="7"/>
  <c r="X28" i="1" s="1"/>
  <c r="K77" i="7"/>
  <c r="X26" i="1" s="1"/>
  <c r="M75" i="8"/>
  <c r="M110" i="8" s="1"/>
  <c r="M114" i="8" s="1"/>
  <c r="M128" i="8" s="1"/>
  <c r="M138" i="8" s="1"/>
  <c r="M135" i="8" s="1"/>
  <c r="M74" i="8"/>
  <c r="M76" i="8" s="1"/>
  <c r="M121" i="8" s="1"/>
  <c r="M124" i="8" s="1"/>
  <c r="M133" i="8" s="1"/>
  <c r="U16" i="3"/>
  <c r="U18" i="3" s="1"/>
  <c r="U36" i="3" s="1"/>
  <c r="U41" i="3" s="1"/>
  <c r="N19" i="8"/>
  <c r="N26" i="8" s="1"/>
  <c r="N117" i="8" s="1"/>
  <c r="N24" i="8"/>
  <c r="N105" i="8" s="1"/>
  <c r="V26" i="1"/>
  <c r="V29" i="1" s="1"/>
  <c r="AB8" i="1"/>
  <c r="AA10" i="3"/>
  <c r="AA11" i="3" s="1"/>
  <c r="N74" i="7"/>
  <c r="N72" i="7"/>
  <c r="AA9" i="1"/>
  <c r="AA11" i="1" s="1"/>
  <c r="AA21" i="1" s="1"/>
  <c r="O25" i="8"/>
  <c r="O113" i="8" s="1"/>
  <c r="M72" i="7"/>
  <c r="Z9" i="1"/>
  <c r="H9" i="10" s="1"/>
  <c r="M74" i="7"/>
  <c r="Z10" i="3"/>
  <c r="O33" i="18"/>
  <c r="O58" i="7" s="1"/>
  <c r="O59" i="7" s="1"/>
  <c r="AB10" i="3" s="1"/>
  <c r="AB11" i="3" s="1"/>
  <c r="P17" i="18"/>
  <c r="P31" i="18"/>
  <c r="P24" i="18"/>
  <c r="P46" i="7"/>
  <c r="P9" i="18"/>
  <c r="P96" i="8"/>
  <c r="P45" i="8"/>
  <c r="P107" i="8" s="1"/>
  <c r="P40" i="8"/>
  <c r="Q24" i="7"/>
  <c r="E19" i="13"/>
  <c r="G20" i="13"/>
  <c r="P45" i="7"/>
  <c r="P9" i="8"/>
  <c r="P25" i="8" s="1"/>
  <c r="R24" i="7"/>
  <c r="U25" i="6"/>
  <c r="U19" i="7" s="1"/>
  <c r="R42" i="7"/>
  <c r="Y101" i="8"/>
  <c r="Y87" i="8"/>
  <c r="Y89" i="8" s="1"/>
  <c r="Y123" i="8" s="1"/>
  <c r="Y88" i="8"/>
  <c r="Y112" i="8" s="1"/>
  <c r="S22" i="7"/>
  <c r="W57" i="6"/>
  <c r="W59" i="6" s="1"/>
  <c r="W51" i="6"/>
  <c r="W79" i="8" s="1"/>
  <c r="Y48" i="6"/>
  <c r="Y57" i="7" s="1"/>
  <c r="Y49" i="6"/>
  <c r="Y64" i="7" s="1"/>
  <c r="AL17" i="1" s="1"/>
  <c r="J17" i="10" s="1"/>
  <c r="Y56" i="6"/>
  <c r="X48" i="6"/>
  <c r="X57" i="7" s="1"/>
  <c r="X49" i="6"/>
  <c r="X64" i="7" s="1"/>
  <c r="AK17" i="1" s="1"/>
  <c r="X56" i="6"/>
  <c r="L78" i="7"/>
  <c r="Y27" i="1" s="1"/>
  <c r="L131" i="8"/>
  <c r="L129" i="8" s="1"/>
  <c r="L80" i="7" s="1"/>
  <c r="Y30" i="1" s="1"/>
  <c r="AC15" i="1"/>
  <c r="P70" i="7"/>
  <c r="AC13" i="3" s="1"/>
  <c r="P49" i="7"/>
  <c r="P36" i="7"/>
  <c r="AC9" i="3" s="1"/>
  <c r="R68" i="7"/>
  <c r="AE18" i="1" s="1"/>
  <c r="AD16" i="1"/>
  <c r="W28" i="1"/>
  <c r="W15" i="3"/>
  <c r="W16" i="3" s="1"/>
  <c r="W18" i="3" s="1"/>
  <c r="W36" i="3" s="1"/>
  <c r="W41" i="3" s="1"/>
  <c r="S23" i="7"/>
  <c r="P33" i="8"/>
  <c r="P35" i="8" s="1"/>
  <c r="P16" i="8"/>
  <c r="Q7" i="8"/>
  <c r="S94" i="7"/>
  <c r="U96" i="7"/>
  <c r="T95" i="7"/>
  <c r="T17" i="7" s="1"/>
  <c r="Q62" i="7"/>
  <c r="Q56" i="7"/>
  <c r="O19" i="8"/>
  <c r="O26" i="8" s="1"/>
  <c r="O117" i="8" s="1"/>
  <c r="O24" i="8"/>
  <c r="O105" i="8" s="1"/>
  <c r="O94" i="8"/>
  <c r="N59" i="8"/>
  <c r="N72" i="8" s="1"/>
  <c r="N97" i="8"/>
  <c r="N56" i="8"/>
  <c r="N108" i="8" s="1"/>
  <c r="N55" i="8"/>
  <c r="N57" i="8" s="1"/>
  <c r="N119" i="8" s="1"/>
  <c r="W26" i="1"/>
  <c r="J82" i="7"/>
  <c r="J86" i="7" s="1"/>
  <c r="S105" i="7"/>
  <c r="S31" i="7" s="1"/>
  <c r="R104" i="7"/>
  <c r="T106" i="7"/>
  <c r="O49" i="8"/>
  <c r="O53" i="8" s="1"/>
  <c r="O95" i="8"/>
  <c r="O35" i="8"/>
  <c r="O47" i="8" s="1"/>
  <c r="O118" i="8" s="1"/>
  <c r="O44" i="8"/>
  <c r="O106" i="8" s="1"/>
  <c r="R16" i="6"/>
  <c r="R7" i="7" s="1"/>
  <c r="R29" i="7"/>
  <c r="Q30" i="7"/>
  <c r="T9" i="6"/>
  <c r="T76" i="7" s="1"/>
  <c r="AG24" i="1" s="1"/>
  <c r="S12" i="6"/>
  <c r="S14" i="6" s="1"/>
  <c r="X29" i="1" l="1"/>
  <c r="X31" i="1" s="1"/>
  <c r="X33" i="1" s="1"/>
  <c r="X35" i="1" s="1"/>
  <c r="X41" i="1" s="1"/>
  <c r="V15" i="3"/>
  <c r="V16" i="3" s="1"/>
  <c r="V18" i="3" s="1"/>
  <c r="V36" i="3" s="1"/>
  <c r="V41" i="3" s="1"/>
  <c r="I82" i="7"/>
  <c r="I86" i="7" s="1"/>
  <c r="U22" i="6"/>
  <c r="U11" i="6" s="1"/>
  <c r="V21" i="6"/>
  <c r="V31" i="1"/>
  <c r="V33" i="1" s="1"/>
  <c r="V35" i="1" s="1"/>
  <c r="V41" i="1" s="1"/>
  <c r="K82" i="7"/>
  <c r="K86" i="7" s="1"/>
  <c r="X15" i="3"/>
  <c r="X14" i="3"/>
  <c r="M131" i="8"/>
  <c r="M129" i="8" s="1"/>
  <c r="M80" i="7" s="1"/>
  <c r="Z30" i="1" s="1"/>
  <c r="H30" i="10" s="1"/>
  <c r="M78" i="7"/>
  <c r="Z27" i="1" s="1"/>
  <c r="H27" i="10" s="1"/>
  <c r="D51" i="13" s="1"/>
  <c r="O72" i="7"/>
  <c r="P47" i="8"/>
  <c r="P118" i="8" s="1"/>
  <c r="AB9" i="1"/>
  <c r="AB11" i="1" s="1"/>
  <c r="AB21" i="1" s="1"/>
  <c r="O74" i="7"/>
  <c r="H11" i="10"/>
  <c r="D31" i="13" s="1"/>
  <c r="D48" i="13" s="1"/>
  <c r="D30" i="13"/>
  <c r="Z11" i="1"/>
  <c r="Z21" i="1" s="1"/>
  <c r="H10" i="12"/>
  <c r="H11" i="12" s="1"/>
  <c r="Z11" i="3"/>
  <c r="P33" i="18"/>
  <c r="P58" i="7" s="1"/>
  <c r="P59" i="7" s="1"/>
  <c r="AC10" i="3" s="1"/>
  <c r="AC11" i="3" s="1"/>
  <c r="R33" i="7"/>
  <c r="R47" i="7" s="1"/>
  <c r="R8" i="18"/>
  <c r="R8" i="8"/>
  <c r="R38" i="8" s="1"/>
  <c r="Q33" i="7"/>
  <c r="Q47" i="7" s="1"/>
  <c r="Q9" i="18" s="1"/>
  <c r="Q8" i="18"/>
  <c r="Q8" i="8"/>
  <c r="Q38" i="8" s="1"/>
  <c r="P46" i="8"/>
  <c r="P113" i="8" s="1"/>
  <c r="E21" i="13"/>
  <c r="R9" i="7"/>
  <c r="AE16" i="1"/>
  <c r="S24" i="7"/>
  <c r="V25" i="6"/>
  <c r="V19" i="7" s="1"/>
  <c r="K17" i="10"/>
  <c r="S42" i="7"/>
  <c r="W100" i="8"/>
  <c r="W81" i="8"/>
  <c r="W83" i="8" s="1"/>
  <c r="W122" i="8" s="1"/>
  <c r="W82" i="8"/>
  <c r="W111" i="8" s="1"/>
  <c r="T23" i="7"/>
  <c r="T22" i="7"/>
  <c r="AC8" i="1"/>
  <c r="W60" i="6"/>
  <c r="Y57" i="6"/>
  <c r="Y59" i="6" s="1"/>
  <c r="Y60" i="6" s="1"/>
  <c r="Y51" i="6"/>
  <c r="Y79" i="8" s="1"/>
  <c r="X57" i="6"/>
  <c r="X59" i="6" s="1"/>
  <c r="X51" i="6"/>
  <c r="X79" i="8" s="1"/>
  <c r="L77" i="7"/>
  <c r="Y26" i="1" s="1"/>
  <c r="L79" i="7"/>
  <c r="Y28" i="1" s="1"/>
  <c r="S68" i="7"/>
  <c r="AF18" i="1" s="1"/>
  <c r="AD15" i="1"/>
  <c r="AD19" i="1" s="1"/>
  <c r="Q70" i="7"/>
  <c r="AD13" i="3" s="1"/>
  <c r="I13" i="12" s="1"/>
  <c r="AC19" i="1"/>
  <c r="W29" i="1"/>
  <c r="W31" i="1" s="1"/>
  <c r="W33" i="1" s="1"/>
  <c r="W35" i="1" s="1"/>
  <c r="W41" i="1" s="1"/>
  <c r="P94" i="8"/>
  <c r="P19" i="8"/>
  <c r="P26" i="8" s="1"/>
  <c r="P117" i="8" s="1"/>
  <c r="P24" i="8"/>
  <c r="P105" i="8" s="1"/>
  <c r="P44" i="8"/>
  <c r="P106" i="8" s="1"/>
  <c r="P95" i="8"/>
  <c r="P49" i="8"/>
  <c r="P53" i="8" s="1"/>
  <c r="S29" i="7"/>
  <c r="S16" i="6"/>
  <c r="S7" i="7" s="1"/>
  <c r="S9" i="7" s="1"/>
  <c r="S7" i="18" s="1"/>
  <c r="R30" i="7"/>
  <c r="N99" i="8"/>
  <c r="N102" i="8" s="1"/>
  <c r="N75" i="8"/>
  <c r="N110" i="8" s="1"/>
  <c r="N114" i="8" s="1"/>
  <c r="N128" i="8" s="1"/>
  <c r="N74" i="8"/>
  <c r="O59" i="8"/>
  <c r="O72" i="8" s="1"/>
  <c r="O97" i="8"/>
  <c r="O56" i="8"/>
  <c r="O108" i="8" s="1"/>
  <c r="O55" i="8"/>
  <c r="O57" i="8" s="1"/>
  <c r="O119" i="8" s="1"/>
  <c r="T105" i="7"/>
  <c r="T31" i="7" s="1"/>
  <c r="S104" i="7"/>
  <c r="U106" i="7"/>
  <c r="Q33" i="8"/>
  <c r="Q16" i="8"/>
  <c r="U9" i="6"/>
  <c r="U76" i="7" s="1"/>
  <c r="AH24" i="1" s="1"/>
  <c r="J24" i="10" s="1"/>
  <c r="F36" i="13" s="1"/>
  <c r="T12" i="6"/>
  <c r="T14" i="6" s="1"/>
  <c r="V22" i="6" l="1"/>
  <c r="V11" i="6" s="1"/>
  <c r="W21" i="6"/>
  <c r="X16" i="3"/>
  <c r="X18" i="3" s="1"/>
  <c r="X36" i="3" s="1"/>
  <c r="X41" i="3" s="1"/>
  <c r="M77" i="7"/>
  <c r="M79" i="7"/>
  <c r="Z28" i="1" s="1"/>
  <c r="H28" i="10" s="1"/>
  <c r="N76" i="8"/>
  <c r="N121" i="8" s="1"/>
  <c r="N124" i="8" s="1"/>
  <c r="N133" i="8" s="1"/>
  <c r="P72" i="7"/>
  <c r="AC9" i="1"/>
  <c r="AC11" i="1" s="1"/>
  <c r="AC21" i="1" s="1"/>
  <c r="R36" i="7"/>
  <c r="AE9" i="3" s="1"/>
  <c r="Q49" i="7"/>
  <c r="Q46" i="7"/>
  <c r="P74" i="7"/>
  <c r="Q9" i="8"/>
  <c r="Q46" i="8" s="1"/>
  <c r="Q36" i="7"/>
  <c r="AD9" i="3" s="1"/>
  <c r="I9" i="12" s="1"/>
  <c r="Q45" i="7"/>
  <c r="R45" i="7"/>
  <c r="R9" i="18"/>
  <c r="Q17" i="18"/>
  <c r="Q31" i="18"/>
  <c r="Q24" i="18"/>
  <c r="Q96" i="8"/>
  <c r="Q40" i="8"/>
  <c r="Q45" i="8"/>
  <c r="Q107" i="8" s="1"/>
  <c r="R7" i="8"/>
  <c r="R33" i="8" s="1"/>
  <c r="R7" i="18"/>
  <c r="R96" i="8"/>
  <c r="R40" i="8"/>
  <c r="R45" i="8"/>
  <c r="R107" i="8" s="1"/>
  <c r="S33" i="7"/>
  <c r="S47" i="7" s="1"/>
  <c r="S8" i="18"/>
  <c r="S8" i="8"/>
  <c r="S38" i="8" s="1"/>
  <c r="R17" i="18"/>
  <c r="R31" i="18"/>
  <c r="R24" i="18"/>
  <c r="R62" i="7"/>
  <c r="AE15" i="1" s="1"/>
  <c r="AE19" i="1" s="1"/>
  <c r="V96" i="7"/>
  <c r="T94" i="7"/>
  <c r="R56" i="7"/>
  <c r="R46" i="7"/>
  <c r="U95" i="7"/>
  <c r="U17" i="7" s="1"/>
  <c r="U23" i="7" s="1"/>
  <c r="R9" i="8"/>
  <c r="R25" i="8" s="1"/>
  <c r="T68" i="7"/>
  <c r="AG18" i="1" s="1"/>
  <c r="T42" i="7"/>
  <c r="T24" i="7"/>
  <c r="W25" i="6"/>
  <c r="W19" i="7" s="1"/>
  <c r="X60" i="6"/>
  <c r="AF16" i="1"/>
  <c r="X100" i="8"/>
  <c r="X81" i="8"/>
  <c r="X83" i="8" s="1"/>
  <c r="X122" i="8" s="1"/>
  <c r="X82" i="8"/>
  <c r="X111" i="8" s="1"/>
  <c r="Y100" i="8"/>
  <c r="Y81" i="8"/>
  <c r="Y83" i="8" s="1"/>
  <c r="Y122" i="8" s="1"/>
  <c r="Y82" i="8"/>
  <c r="Y111" i="8" s="1"/>
  <c r="Y14" i="3"/>
  <c r="I15" i="10"/>
  <c r="L82" i="7"/>
  <c r="L86" i="7" s="1"/>
  <c r="Y15" i="3"/>
  <c r="Y29" i="1"/>
  <c r="Y31" i="1" s="1"/>
  <c r="Y33" i="1" s="1"/>
  <c r="Y35" i="1" s="1"/>
  <c r="Y41" i="1" s="1"/>
  <c r="S7" i="8"/>
  <c r="W96" i="7"/>
  <c r="S56" i="7"/>
  <c r="P56" i="8"/>
  <c r="P108" i="8" s="1"/>
  <c r="P55" i="8"/>
  <c r="P57" i="8" s="1"/>
  <c r="P119" i="8" s="1"/>
  <c r="P97" i="8"/>
  <c r="S62" i="7"/>
  <c r="P59" i="8"/>
  <c r="P72" i="8" s="1"/>
  <c r="N138" i="8"/>
  <c r="N135" i="8" s="1"/>
  <c r="N78" i="7"/>
  <c r="N131" i="8"/>
  <c r="T29" i="7"/>
  <c r="T16" i="6"/>
  <c r="T7" i="7" s="1"/>
  <c r="T9" i="7" s="1"/>
  <c r="T7" i="18" s="1"/>
  <c r="T104" i="7"/>
  <c r="U105" i="7"/>
  <c r="U31" i="7" s="1"/>
  <c r="V106" i="7"/>
  <c r="Q35" i="8"/>
  <c r="Q49" i="8"/>
  <c r="Q53" i="8" s="1"/>
  <c r="Q44" i="8"/>
  <c r="Q106" i="8" s="1"/>
  <c r="Q95" i="8"/>
  <c r="O75" i="8"/>
  <c r="O110" i="8" s="1"/>
  <c r="O114" i="8" s="1"/>
  <c r="O128" i="8" s="1"/>
  <c r="O74" i="8"/>
  <c r="O99" i="8"/>
  <c r="O102" i="8" s="1"/>
  <c r="U94" i="7"/>
  <c r="V95" i="7"/>
  <c r="V17" i="7" s="1"/>
  <c r="S30" i="7"/>
  <c r="R49" i="7"/>
  <c r="Q94" i="8"/>
  <c r="Q24" i="8"/>
  <c r="Q105" i="8" s="1"/>
  <c r="Q19" i="8"/>
  <c r="Q26" i="8" s="1"/>
  <c r="Q117" i="8" s="1"/>
  <c r="U12" i="6"/>
  <c r="U14" i="6" s="1"/>
  <c r="V9" i="6"/>
  <c r="V76" i="7" s="1"/>
  <c r="AI24" i="1" s="1"/>
  <c r="V22" i="7" l="1"/>
  <c r="W22" i="6"/>
  <c r="W11" i="6" s="1"/>
  <c r="X21" i="6"/>
  <c r="Z15" i="3"/>
  <c r="H15" i="12" s="1"/>
  <c r="M82" i="7"/>
  <c r="M86" i="7" s="1"/>
  <c r="Z26" i="1"/>
  <c r="H26" i="10" s="1"/>
  <c r="H29" i="10" s="1"/>
  <c r="Z14" i="3"/>
  <c r="H14" i="12" s="1"/>
  <c r="O76" i="8"/>
  <c r="O121" i="8" s="1"/>
  <c r="O124" i="8" s="1"/>
  <c r="O133" i="8" s="1"/>
  <c r="Q47" i="8"/>
  <c r="Q118" i="8" s="1"/>
  <c r="Q25" i="8"/>
  <c r="Q113" i="8" s="1"/>
  <c r="AE8" i="1"/>
  <c r="R16" i="8"/>
  <c r="R19" i="8" s="1"/>
  <c r="R26" i="8" s="1"/>
  <c r="R117" i="8" s="1"/>
  <c r="AD8" i="1"/>
  <c r="I8" i="10" s="1"/>
  <c r="E29" i="13" s="1"/>
  <c r="S36" i="7"/>
  <c r="AF9" i="3" s="1"/>
  <c r="Q33" i="18"/>
  <c r="Q58" i="7" s="1"/>
  <c r="Q59" i="7" s="1"/>
  <c r="R33" i="18"/>
  <c r="R58" i="7" s="1"/>
  <c r="R59" i="7" s="1"/>
  <c r="S45" i="7"/>
  <c r="S9" i="18"/>
  <c r="S40" i="8"/>
  <c r="S45" i="8"/>
  <c r="S107" i="8" s="1"/>
  <c r="S96" i="8"/>
  <c r="S17" i="18"/>
  <c r="S31" i="18"/>
  <c r="S24" i="18"/>
  <c r="T33" i="7"/>
  <c r="T47" i="7" s="1"/>
  <c r="T8" i="18"/>
  <c r="T8" i="8"/>
  <c r="T38" i="8" s="1"/>
  <c r="R70" i="7"/>
  <c r="AE13" i="3" s="1"/>
  <c r="S46" i="7"/>
  <c r="S9" i="8"/>
  <c r="S46" i="8" s="1"/>
  <c r="U22" i="7"/>
  <c r="U24" i="7" s="1"/>
  <c r="R46" i="8"/>
  <c r="R113" i="8" s="1"/>
  <c r="AG16" i="1"/>
  <c r="X25" i="6"/>
  <c r="X19" i="7" s="1"/>
  <c r="Y16" i="3"/>
  <c r="Y18" i="3" s="1"/>
  <c r="Y36" i="3" s="1"/>
  <c r="Y41" i="3" s="1"/>
  <c r="U68" i="7"/>
  <c r="AH18" i="1" s="1"/>
  <c r="J18" i="10" s="1"/>
  <c r="N129" i="8"/>
  <c r="N80" i="7" s="1"/>
  <c r="AA30" i="1" s="1"/>
  <c r="AF15" i="1"/>
  <c r="S70" i="7"/>
  <c r="AF13" i="3" s="1"/>
  <c r="S16" i="8"/>
  <c r="S33" i="8"/>
  <c r="T7" i="8"/>
  <c r="T56" i="7"/>
  <c r="T62" i="7"/>
  <c r="P75" i="8"/>
  <c r="P110" i="8" s="1"/>
  <c r="P114" i="8" s="1"/>
  <c r="P128" i="8" s="1"/>
  <c r="P138" i="8" s="1"/>
  <c r="P135" i="8" s="1"/>
  <c r="P99" i="8"/>
  <c r="P102" i="8" s="1"/>
  <c r="P74" i="8"/>
  <c r="O138" i="8"/>
  <c r="O135" i="8" s="1"/>
  <c r="O131" i="8"/>
  <c r="O78" i="7"/>
  <c r="AA27" i="1"/>
  <c r="N79" i="7"/>
  <c r="N77" i="7"/>
  <c r="AA14" i="3" s="1"/>
  <c r="V23" i="7"/>
  <c r="T30" i="7"/>
  <c r="W95" i="7"/>
  <c r="W17" i="7" s="1"/>
  <c r="R95" i="8"/>
  <c r="R35" i="8"/>
  <c r="R47" i="8" s="1"/>
  <c r="R118" i="8" s="1"/>
  <c r="R49" i="8"/>
  <c r="R53" i="8" s="1"/>
  <c r="R44" i="8"/>
  <c r="R106" i="8" s="1"/>
  <c r="U29" i="7"/>
  <c r="U16" i="6"/>
  <c r="Q59" i="8"/>
  <c r="Q72" i="8" s="1"/>
  <c r="Q55" i="8"/>
  <c r="Q57" i="8" s="1"/>
  <c r="Q119" i="8" s="1"/>
  <c r="Q97" i="8"/>
  <c r="Q56" i="8"/>
  <c r="Q108" i="8" s="1"/>
  <c r="V94" i="7"/>
  <c r="X96" i="7"/>
  <c r="V105" i="7"/>
  <c r="V31" i="7" s="1"/>
  <c r="W106" i="7"/>
  <c r="U104" i="7"/>
  <c r="S49" i="7"/>
  <c r="W9" i="6"/>
  <c r="W76" i="7" s="1"/>
  <c r="AJ24" i="1" s="1"/>
  <c r="V12" i="6"/>
  <c r="V14" i="6" s="1"/>
  <c r="X22" i="6" l="1"/>
  <c r="X11" i="6" s="1"/>
  <c r="Y21" i="6"/>
  <c r="Y22" i="6" s="1"/>
  <c r="Z29" i="1"/>
  <c r="Z31" i="1" s="1"/>
  <c r="Z33" i="1" s="1"/>
  <c r="Z35" i="1" s="1"/>
  <c r="Z41" i="1" s="1"/>
  <c r="Z16" i="3"/>
  <c r="Z18" i="3" s="1"/>
  <c r="Z36" i="3" s="1"/>
  <c r="Z41" i="3" s="1"/>
  <c r="H41" i="12" s="1"/>
  <c r="P76" i="8"/>
  <c r="P121" i="8" s="1"/>
  <c r="P124" i="8" s="1"/>
  <c r="P133" i="8" s="1"/>
  <c r="R24" i="8"/>
  <c r="R105" i="8" s="1"/>
  <c r="R94" i="8"/>
  <c r="AF8" i="1"/>
  <c r="T36" i="7"/>
  <c r="AG9" i="3" s="1"/>
  <c r="AE10" i="3"/>
  <c r="AE11" i="3" s="1"/>
  <c r="AE9" i="1"/>
  <c r="AE11" i="1" s="1"/>
  <c r="AE21" i="1" s="1"/>
  <c r="R74" i="7"/>
  <c r="R72" i="7"/>
  <c r="AD10" i="3"/>
  <c r="AD11" i="3" s="1"/>
  <c r="Q72" i="7"/>
  <c r="AD9" i="1"/>
  <c r="Q74" i="7"/>
  <c r="S33" i="18"/>
  <c r="S58" i="7" s="1"/>
  <c r="S59" i="7" s="1"/>
  <c r="AF10" i="3" s="1"/>
  <c r="AF11" i="3" s="1"/>
  <c r="U8" i="18"/>
  <c r="U8" i="8"/>
  <c r="U38" i="8" s="1"/>
  <c r="U45" i="8" s="1"/>
  <c r="U107" i="8" s="1"/>
  <c r="T9" i="8"/>
  <c r="T46" i="8" s="1"/>
  <c r="T9" i="18"/>
  <c r="T40" i="8"/>
  <c r="T96" i="8"/>
  <c r="T45" i="8"/>
  <c r="T107" i="8" s="1"/>
  <c r="T17" i="18"/>
  <c r="T31" i="18"/>
  <c r="T24" i="18"/>
  <c r="T46" i="7"/>
  <c r="T45" i="7"/>
  <c r="U42" i="7"/>
  <c r="AH16" i="1" s="1"/>
  <c r="S25" i="8"/>
  <c r="S113" i="8" s="1"/>
  <c r="U33" i="7"/>
  <c r="F26" i="13"/>
  <c r="V24" i="7"/>
  <c r="Y25" i="6"/>
  <c r="Y19" i="7" s="1"/>
  <c r="Y11" i="6"/>
  <c r="W22" i="7"/>
  <c r="U7" i="7"/>
  <c r="H16" i="12"/>
  <c r="H18" i="12" s="1"/>
  <c r="H36" i="12" s="1"/>
  <c r="AF19" i="1"/>
  <c r="S49" i="8"/>
  <c r="S53" i="8" s="1"/>
  <c r="S55" i="8" s="1"/>
  <c r="S57" i="8" s="1"/>
  <c r="S119" i="8" s="1"/>
  <c r="S95" i="8"/>
  <c r="S44" i="8"/>
  <c r="S106" i="8" s="1"/>
  <c r="S94" i="8"/>
  <c r="S24" i="8"/>
  <c r="S105" i="8" s="1"/>
  <c r="S19" i="8"/>
  <c r="S26" i="8" s="1"/>
  <c r="S117" i="8" s="1"/>
  <c r="S35" i="8"/>
  <c r="S47" i="8" s="1"/>
  <c r="S118" i="8" s="1"/>
  <c r="AG15" i="1"/>
  <c r="AG19" i="1" s="1"/>
  <c r="T70" i="7"/>
  <c r="AG13" i="3" s="1"/>
  <c r="V42" i="7"/>
  <c r="AA28" i="1"/>
  <c r="AA15" i="3"/>
  <c r="AA16" i="3" s="1"/>
  <c r="AA18" i="3" s="1"/>
  <c r="AA36" i="3" s="1"/>
  <c r="AA41" i="3" s="1"/>
  <c r="P78" i="7"/>
  <c r="AC27" i="1" s="1"/>
  <c r="P131" i="8"/>
  <c r="V68" i="7"/>
  <c r="W23" i="7"/>
  <c r="W68" i="7" s="1"/>
  <c r="O129" i="8"/>
  <c r="O80" i="7" s="1"/>
  <c r="AB30" i="1" s="1"/>
  <c r="T33" i="8"/>
  <c r="T16" i="8"/>
  <c r="U30" i="7"/>
  <c r="R59" i="8"/>
  <c r="R72" i="8" s="1"/>
  <c r="R55" i="8"/>
  <c r="R57" i="8" s="1"/>
  <c r="R119" i="8" s="1"/>
  <c r="R56" i="8"/>
  <c r="R108" i="8" s="1"/>
  <c r="R97" i="8"/>
  <c r="W105" i="7"/>
  <c r="W31" i="7" s="1"/>
  <c r="V104" i="7"/>
  <c r="X106" i="7"/>
  <c r="T49" i="7"/>
  <c r="V16" i="6"/>
  <c r="V7" i="7" s="1"/>
  <c r="V29" i="7"/>
  <c r="AB27" i="1"/>
  <c r="O77" i="7"/>
  <c r="AB14" i="3" s="1"/>
  <c r="O79" i="7"/>
  <c r="Q75" i="8"/>
  <c r="Q110" i="8" s="1"/>
  <c r="Q114" i="8" s="1"/>
  <c r="Q128" i="8" s="1"/>
  <c r="Q74" i="8"/>
  <c r="Q99" i="8"/>
  <c r="AA26" i="1"/>
  <c r="N82" i="7"/>
  <c r="N86" i="7" s="1"/>
  <c r="X9" i="6"/>
  <c r="X76" i="7" s="1"/>
  <c r="AK24" i="1" s="1"/>
  <c r="W12" i="6"/>
  <c r="W14" i="6" s="1"/>
  <c r="Q76" i="8" l="1"/>
  <c r="Q121" i="8" s="1"/>
  <c r="Q124" i="8" s="1"/>
  <c r="Q133" i="8" s="1"/>
  <c r="AG8" i="1"/>
  <c r="S72" i="7"/>
  <c r="S74" i="7"/>
  <c r="T25" i="8"/>
  <c r="T113" i="8" s="1"/>
  <c r="I9" i="10"/>
  <c r="AD11" i="1"/>
  <c r="AD21" i="1" s="1"/>
  <c r="AF9" i="1"/>
  <c r="AF11" i="1" s="1"/>
  <c r="AF21" i="1" s="1"/>
  <c r="U96" i="8"/>
  <c r="T33" i="18"/>
  <c r="T58" i="7" s="1"/>
  <c r="T59" i="7" s="1"/>
  <c r="AG9" i="1" s="1"/>
  <c r="AG11" i="1" s="1"/>
  <c r="AG21" i="1" s="1"/>
  <c r="U40" i="8"/>
  <c r="V33" i="7"/>
  <c r="V47" i="7" s="1"/>
  <c r="V8" i="18"/>
  <c r="V8" i="8"/>
  <c r="V38" i="8" s="1"/>
  <c r="U17" i="18"/>
  <c r="U31" i="18"/>
  <c r="U24" i="18"/>
  <c r="U47" i="7"/>
  <c r="U49" i="7" s="1"/>
  <c r="U36" i="7"/>
  <c r="AH9" i="3" s="1"/>
  <c r="J9" i="12" s="1"/>
  <c r="V9" i="7"/>
  <c r="U9" i="7"/>
  <c r="F19" i="13"/>
  <c r="W24" i="7"/>
  <c r="P129" i="8"/>
  <c r="P80" i="7" s="1"/>
  <c r="AC30" i="1" s="1"/>
  <c r="Q102" i="8"/>
  <c r="E41" i="13" s="1"/>
  <c r="W42" i="7"/>
  <c r="P79" i="7"/>
  <c r="AC28" i="1" s="1"/>
  <c r="S97" i="8"/>
  <c r="S56" i="8"/>
  <c r="S108" i="8" s="1"/>
  <c r="S59" i="8"/>
  <c r="AI16" i="1"/>
  <c r="AJ18" i="1"/>
  <c r="AI18" i="1"/>
  <c r="AB28" i="1"/>
  <c r="AB15" i="3"/>
  <c r="AA29" i="1"/>
  <c r="AA31" i="1" s="1"/>
  <c r="AA33" i="1" s="1"/>
  <c r="AA35" i="1" s="1"/>
  <c r="AA41" i="1" s="1"/>
  <c r="P77" i="7"/>
  <c r="T24" i="8"/>
  <c r="T105" i="8" s="1"/>
  <c r="T94" i="8"/>
  <c r="T19" i="8"/>
  <c r="T26" i="8" s="1"/>
  <c r="T117" i="8" s="1"/>
  <c r="T95" i="8"/>
  <c r="T49" i="8"/>
  <c r="T53" i="8" s="1"/>
  <c r="T35" i="8"/>
  <c r="T47" i="8" s="1"/>
  <c r="T118" i="8" s="1"/>
  <c r="T44" i="8"/>
  <c r="T106" i="8" s="1"/>
  <c r="R75" i="8"/>
  <c r="R110" i="8" s="1"/>
  <c r="R114" i="8" s="1"/>
  <c r="R128" i="8" s="1"/>
  <c r="R99" i="8"/>
  <c r="R102" i="8" s="1"/>
  <c r="R74" i="8"/>
  <c r="AB26" i="1"/>
  <c r="O82" i="7"/>
  <c r="O86" i="7" s="1"/>
  <c r="Q138" i="8"/>
  <c r="Q135" i="8" s="1"/>
  <c r="Q78" i="7"/>
  <c r="Q131" i="8"/>
  <c r="W16" i="6"/>
  <c r="W29" i="7"/>
  <c r="Y106" i="7"/>
  <c r="X105" i="7"/>
  <c r="X31" i="7" s="1"/>
  <c r="W104" i="7"/>
  <c r="V30" i="7"/>
  <c r="Y9" i="6"/>
  <c r="X12" i="6"/>
  <c r="X14" i="6" s="1"/>
  <c r="F95" i="7"/>
  <c r="G96" i="7"/>
  <c r="R76" i="8" l="1"/>
  <c r="R121" i="8" s="1"/>
  <c r="R124" i="8" s="1"/>
  <c r="R133" i="8" s="1"/>
  <c r="S72" i="8"/>
  <c r="S75" i="8" s="1"/>
  <c r="S110" i="8" s="1"/>
  <c r="S114" i="8" s="1"/>
  <c r="S128" i="8" s="1"/>
  <c r="S138" i="8" s="1"/>
  <c r="S135" i="8" s="1"/>
  <c r="T72" i="7"/>
  <c r="I11" i="10"/>
  <c r="E31" i="13" s="1"/>
  <c r="E48" i="13" s="1"/>
  <c r="E30" i="13"/>
  <c r="AG10" i="3"/>
  <c r="AG11" i="3" s="1"/>
  <c r="T74" i="7"/>
  <c r="V36" i="7"/>
  <c r="AI9" i="3" s="1"/>
  <c r="U33" i="18"/>
  <c r="U58" i="7" s="1"/>
  <c r="U45" i="7"/>
  <c r="U46" i="7"/>
  <c r="U9" i="18"/>
  <c r="W33" i="7"/>
  <c r="W47" i="7" s="1"/>
  <c r="W8" i="18"/>
  <c r="W8" i="8"/>
  <c r="W38" i="8" s="1"/>
  <c r="V46" i="7"/>
  <c r="V9" i="18"/>
  <c r="V45" i="8"/>
  <c r="V107" i="8" s="1"/>
  <c r="V40" i="8"/>
  <c r="V96" i="8"/>
  <c r="U62" i="7"/>
  <c r="AH15" i="1" s="1"/>
  <c r="AH19" i="1" s="1"/>
  <c r="U7" i="18"/>
  <c r="V17" i="18"/>
  <c r="V31" i="18"/>
  <c r="V24" i="18"/>
  <c r="V7" i="8"/>
  <c r="V33" i="8" s="1"/>
  <c r="V95" i="8" s="1"/>
  <c r="V7" i="18"/>
  <c r="U7" i="8"/>
  <c r="U16" i="8" s="1"/>
  <c r="U94" i="8" s="1"/>
  <c r="F21" i="13"/>
  <c r="X95" i="7"/>
  <c r="X17" i="7" s="1"/>
  <c r="V45" i="7"/>
  <c r="U9" i="8"/>
  <c r="U46" i="8" s="1"/>
  <c r="X94" i="7"/>
  <c r="V56" i="7"/>
  <c r="Y95" i="7"/>
  <c r="Y17" i="7" s="1"/>
  <c r="V62" i="7"/>
  <c r="AI15" i="1" s="1"/>
  <c r="AI19" i="1" s="1"/>
  <c r="AH8" i="1"/>
  <c r="J8" i="10" s="1"/>
  <c r="F29" i="13" s="1"/>
  <c r="Y96" i="7"/>
  <c r="U56" i="7"/>
  <c r="W94" i="7"/>
  <c r="V9" i="8"/>
  <c r="V46" i="8" s="1"/>
  <c r="W7" i="7"/>
  <c r="F17" i="7"/>
  <c r="F22" i="7" s="1"/>
  <c r="P82" i="7"/>
  <c r="P86" i="7" s="1"/>
  <c r="AJ16" i="1"/>
  <c r="AC15" i="3"/>
  <c r="J15" i="10"/>
  <c r="AB16" i="3"/>
  <c r="AB18" i="3" s="1"/>
  <c r="AB36" i="3" s="1"/>
  <c r="AB41" i="3" s="1"/>
  <c r="AB29" i="1"/>
  <c r="AB31" i="1" s="1"/>
  <c r="AB33" i="1" s="1"/>
  <c r="AB35" i="1" s="1"/>
  <c r="AB41" i="1" s="1"/>
  <c r="AC26" i="1"/>
  <c r="AC29" i="1" s="1"/>
  <c r="AC31" i="1" s="1"/>
  <c r="AC33" i="1" s="1"/>
  <c r="AC35" i="1" s="1"/>
  <c r="AC41" i="1" s="1"/>
  <c r="AC14" i="3"/>
  <c r="Q129" i="8"/>
  <c r="Q80" i="7" s="1"/>
  <c r="AD30" i="1" s="1"/>
  <c r="I30" i="10" s="1"/>
  <c r="T59" i="8"/>
  <c r="T72" i="8" s="1"/>
  <c r="T56" i="8"/>
  <c r="T108" i="8" s="1"/>
  <c r="T55" i="8"/>
  <c r="T57" i="8" s="1"/>
  <c r="T119" i="8" s="1"/>
  <c r="T97" i="8"/>
  <c r="R138" i="8"/>
  <c r="R135" i="8" s="1"/>
  <c r="R78" i="7"/>
  <c r="R131" i="8"/>
  <c r="AD27" i="1"/>
  <c r="I27" i="10" s="1"/>
  <c r="E51" i="13" s="1"/>
  <c r="Q77" i="7"/>
  <c r="AD14" i="3" s="1"/>
  <c r="Q79" i="7"/>
  <c r="Y105" i="7"/>
  <c r="Y31" i="7" s="1"/>
  <c r="X104" i="7"/>
  <c r="V49" i="7"/>
  <c r="X29" i="7"/>
  <c r="X16" i="6"/>
  <c r="X7" i="7" s="1"/>
  <c r="X9" i="7" s="1"/>
  <c r="X7" i="18" s="1"/>
  <c r="Y12" i="6"/>
  <c r="Y14" i="6" s="1"/>
  <c r="Y76" i="7"/>
  <c r="AL24" i="1" s="1"/>
  <c r="W30" i="7"/>
  <c r="X23" i="7" l="1"/>
  <c r="X68" i="7" s="1"/>
  <c r="AK18" i="1" s="1"/>
  <c r="G24" i="13"/>
  <c r="G44" i="13" s="1"/>
  <c r="Y22" i="7"/>
  <c r="Y42" i="7" s="1"/>
  <c r="AL16" i="1" s="1"/>
  <c r="E24" i="13"/>
  <c r="E44" i="13" s="1"/>
  <c r="F24" i="13"/>
  <c r="F44" i="13" s="1"/>
  <c r="S99" i="8"/>
  <c r="S102" i="8" s="1"/>
  <c r="S74" i="8"/>
  <c r="S76" i="8" s="1"/>
  <c r="S121" i="8" s="1"/>
  <c r="S124" i="8" s="1"/>
  <c r="S133" i="8" s="1"/>
  <c r="W36" i="7"/>
  <c r="AJ9" i="3" s="1"/>
  <c r="AI8" i="1"/>
  <c r="U33" i="8"/>
  <c r="U49" i="8" s="1"/>
  <c r="U53" i="8" s="1"/>
  <c r="U59" i="8" s="1"/>
  <c r="U72" i="8" s="1"/>
  <c r="U59" i="7"/>
  <c r="AH9" i="1" s="1"/>
  <c r="J9" i="10" s="1"/>
  <c r="V33" i="18"/>
  <c r="V58" i="7" s="1"/>
  <c r="V59" i="7" s="1"/>
  <c r="U70" i="7"/>
  <c r="AH13" i="3" s="1"/>
  <c r="J13" i="12" s="1"/>
  <c r="W96" i="8"/>
  <c r="W45" i="8"/>
  <c r="W107" i="8" s="1"/>
  <c r="W40" i="8"/>
  <c r="V49" i="8"/>
  <c r="V53" i="8" s="1"/>
  <c r="V97" i="8" s="1"/>
  <c r="W17" i="18"/>
  <c r="W31" i="18"/>
  <c r="W24" i="18"/>
  <c r="V44" i="8"/>
  <c r="V106" i="8" s="1"/>
  <c r="W9" i="8"/>
  <c r="W25" i="8" s="1"/>
  <c r="W9" i="18"/>
  <c r="V16" i="8"/>
  <c r="U19" i="8"/>
  <c r="U26" i="8" s="1"/>
  <c r="U117" i="8" s="1"/>
  <c r="U24" i="8"/>
  <c r="U105" i="8" s="1"/>
  <c r="V25" i="8"/>
  <c r="V113" i="8" s="1"/>
  <c r="U25" i="8"/>
  <c r="U113" i="8" s="1"/>
  <c r="X22" i="7"/>
  <c r="X42" i="7" s="1"/>
  <c r="V70" i="7"/>
  <c r="AI13" i="3" s="1"/>
  <c r="Y23" i="7"/>
  <c r="E26" i="13" s="1"/>
  <c r="W9" i="7"/>
  <c r="W46" i="7"/>
  <c r="W45" i="7"/>
  <c r="F23" i="7"/>
  <c r="S131" i="8"/>
  <c r="R129" i="8"/>
  <c r="R80" i="7" s="1"/>
  <c r="AE30" i="1" s="1"/>
  <c r="S78" i="7"/>
  <c r="AF27" i="1" s="1"/>
  <c r="H24" i="10"/>
  <c r="I24" i="10"/>
  <c r="E36" i="13" s="1"/>
  <c r="K24" i="10"/>
  <c r="G36" i="13" s="1"/>
  <c r="X7" i="8"/>
  <c r="X16" i="8" s="1"/>
  <c r="X24" i="8" s="1"/>
  <c r="X105" i="8" s="1"/>
  <c r="AC16" i="3"/>
  <c r="AC18" i="3" s="1"/>
  <c r="AC36" i="3" s="1"/>
  <c r="AC41" i="3" s="1"/>
  <c r="I14" i="12"/>
  <c r="AD28" i="1"/>
  <c r="I28" i="10" s="1"/>
  <c r="AD15" i="3"/>
  <c r="I15" i="12" s="1"/>
  <c r="T99" i="8"/>
  <c r="T102" i="8" s="1"/>
  <c r="T75" i="8"/>
  <c r="T110" i="8" s="1"/>
  <c r="T114" i="8" s="1"/>
  <c r="T128" i="8" s="1"/>
  <c r="T74" i="8"/>
  <c r="Y104" i="7"/>
  <c r="X30" i="7"/>
  <c r="AD26" i="1"/>
  <c r="Q82" i="7"/>
  <c r="Q86" i="7" s="1"/>
  <c r="Y16" i="6"/>
  <c r="Y7" i="7" s="1"/>
  <c r="Y9" i="7" s="1"/>
  <c r="Y7" i="18" s="1"/>
  <c r="Y29" i="7"/>
  <c r="W49" i="7"/>
  <c r="AE27" i="1"/>
  <c r="R77" i="7"/>
  <c r="AE14" i="3" s="1"/>
  <c r="R79" i="7"/>
  <c r="X56" i="7"/>
  <c r="X62" i="7"/>
  <c r="F42" i="7"/>
  <c r="U95" i="8" l="1"/>
  <c r="S129" i="8"/>
  <c r="S80" i="7" s="1"/>
  <c r="AF30" i="1" s="1"/>
  <c r="T76" i="8"/>
  <c r="T121" i="8" s="1"/>
  <c r="T124" i="8" s="1"/>
  <c r="T133" i="8" s="1"/>
  <c r="AJ8" i="1"/>
  <c r="U44" i="8"/>
  <c r="U106" i="8" s="1"/>
  <c r="V35" i="8"/>
  <c r="V47" i="8" s="1"/>
  <c r="V118" i="8" s="1"/>
  <c r="U72" i="7"/>
  <c r="V59" i="8"/>
  <c r="U35" i="8"/>
  <c r="U47" i="8" s="1"/>
  <c r="U118" i="8" s="1"/>
  <c r="J11" i="10"/>
  <c r="F31" i="13" s="1"/>
  <c r="F30" i="13"/>
  <c r="W46" i="8"/>
  <c r="W113" i="8" s="1"/>
  <c r="V19" i="8"/>
  <c r="V26" i="8" s="1"/>
  <c r="V117" i="8" s="1"/>
  <c r="AI10" i="3"/>
  <c r="AI11" i="3" s="1"/>
  <c r="V74" i="7"/>
  <c r="AI9" i="1"/>
  <c r="AI11" i="1" s="1"/>
  <c r="AI21" i="1" s="1"/>
  <c r="V72" i="7"/>
  <c r="U74" i="7"/>
  <c r="AH10" i="3"/>
  <c r="AH11" i="3" s="1"/>
  <c r="W33" i="18"/>
  <c r="W58" i="7" s="1"/>
  <c r="V94" i="8"/>
  <c r="V24" i="8"/>
  <c r="V105" i="8" s="1"/>
  <c r="V56" i="8"/>
  <c r="V108" i="8" s="1"/>
  <c r="W56" i="7"/>
  <c r="W7" i="18"/>
  <c r="X24" i="7"/>
  <c r="AH11" i="1"/>
  <c r="AH21" i="1" s="1"/>
  <c r="Y24" i="7"/>
  <c r="Y68" i="7"/>
  <c r="AL18" i="1" s="1"/>
  <c r="K18" i="10" s="1"/>
  <c r="Y94" i="7"/>
  <c r="W7" i="8"/>
  <c r="W33" i="8" s="1"/>
  <c r="W95" i="8" s="1"/>
  <c r="W62" i="7"/>
  <c r="G19" i="13"/>
  <c r="V55" i="8"/>
  <c r="V57" i="8" s="1"/>
  <c r="V119" i="8" s="1"/>
  <c r="U97" i="8"/>
  <c r="U56" i="8"/>
  <c r="U108" i="8" s="1"/>
  <c r="U55" i="8"/>
  <c r="U57" i="8" s="1"/>
  <c r="U119" i="8" s="1"/>
  <c r="AK16" i="1"/>
  <c r="K16" i="10" s="1"/>
  <c r="F24" i="7"/>
  <c r="F68" i="7"/>
  <c r="S18" i="1" s="1"/>
  <c r="G18" i="10" s="1"/>
  <c r="H31" i="10"/>
  <c r="D36" i="13"/>
  <c r="S77" i="7"/>
  <c r="S79" i="7"/>
  <c r="X33" i="8"/>
  <c r="X94" i="8"/>
  <c r="AK15" i="1"/>
  <c r="X70" i="7"/>
  <c r="AK13" i="3" s="1"/>
  <c r="AE28" i="1"/>
  <c r="AE15" i="3"/>
  <c r="AE16" i="3" s="1"/>
  <c r="AE18" i="3" s="1"/>
  <c r="AE36" i="3" s="1"/>
  <c r="AE41" i="3" s="1"/>
  <c r="I16" i="12"/>
  <c r="H16" i="10"/>
  <c r="H19" i="10" s="1"/>
  <c r="H21" i="10" s="1"/>
  <c r="I16" i="10"/>
  <c r="I19" i="10" s="1"/>
  <c r="I21" i="10" s="1"/>
  <c r="E33" i="13" s="1"/>
  <c r="J16" i="10"/>
  <c r="J19" i="10" s="1"/>
  <c r="AD16" i="3"/>
  <c r="AD18" i="3" s="1"/>
  <c r="AD36" i="3" s="1"/>
  <c r="AD41" i="3" s="1"/>
  <c r="I41" i="12" s="1"/>
  <c r="AD29" i="1"/>
  <c r="AD31" i="1" s="1"/>
  <c r="AD33" i="1" s="1"/>
  <c r="AD35" i="1" s="1"/>
  <c r="AD41" i="1" s="1"/>
  <c r="I26" i="10"/>
  <c r="I29" i="10" s="1"/>
  <c r="I31" i="10" s="1"/>
  <c r="E37" i="13" s="1"/>
  <c r="U74" i="8"/>
  <c r="U75" i="8"/>
  <c r="U110" i="8" s="1"/>
  <c r="U99" i="8"/>
  <c r="T138" i="8"/>
  <c r="T135" i="8" s="1"/>
  <c r="T131" i="8"/>
  <c r="T78" i="7"/>
  <c r="S16" i="1"/>
  <c r="Y30" i="7"/>
  <c r="Y7" i="8"/>
  <c r="Y62" i="7"/>
  <c r="Y56" i="7"/>
  <c r="AE26" i="1"/>
  <c r="R82" i="7"/>
  <c r="R86" i="7" s="1"/>
  <c r="V72" i="8" l="1"/>
  <c r="V75" i="8" s="1"/>
  <c r="V110" i="8" s="1"/>
  <c r="V114" i="8" s="1"/>
  <c r="V128" i="8" s="1"/>
  <c r="V138" i="8" s="1"/>
  <c r="V135" i="8" s="1"/>
  <c r="U76" i="8"/>
  <c r="U121" i="8" s="1"/>
  <c r="U124" i="8" s="1"/>
  <c r="U133" i="8" s="1"/>
  <c r="AF15" i="3"/>
  <c r="J21" i="10"/>
  <c r="F33" i="13" s="1"/>
  <c r="F34" i="13" s="1"/>
  <c r="W59" i="7"/>
  <c r="AJ10" i="3" s="1"/>
  <c r="AJ11" i="3" s="1"/>
  <c r="X33" i="7"/>
  <c r="X36" i="7" s="1"/>
  <c r="AK8" i="1" s="1"/>
  <c r="X8" i="18"/>
  <c r="X8" i="8"/>
  <c r="X38" i="8" s="1"/>
  <c r="X49" i="8" s="1"/>
  <c r="X53" i="8" s="1"/>
  <c r="X59" i="8" s="1"/>
  <c r="F8" i="18"/>
  <c r="F8" i="8"/>
  <c r="F38" i="8" s="1"/>
  <c r="Y33" i="7"/>
  <c r="Y47" i="7" s="1"/>
  <c r="Y46" i="7" s="1"/>
  <c r="Y8" i="18"/>
  <c r="Y8" i="8"/>
  <c r="Y38" i="8" s="1"/>
  <c r="G26" i="13"/>
  <c r="G21" i="13"/>
  <c r="W16" i="8"/>
  <c r="W19" i="8" s="1"/>
  <c r="W26" i="8" s="1"/>
  <c r="W117" i="8" s="1"/>
  <c r="X35" i="8"/>
  <c r="W35" i="8"/>
  <c r="W47" i="8" s="1"/>
  <c r="W118" i="8" s="1"/>
  <c r="W44" i="8"/>
  <c r="W106" i="8" s="1"/>
  <c r="W49" i="8"/>
  <c r="W53" i="8" s="1"/>
  <c r="W97" i="8" s="1"/>
  <c r="W70" i="7"/>
  <c r="AJ13" i="3" s="1"/>
  <c r="AJ15" i="1"/>
  <c r="AJ19" i="1" s="1"/>
  <c r="F33" i="7"/>
  <c r="U114" i="8"/>
  <c r="U128" i="8" s="1"/>
  <c r="U78" i="7" s="1"/>
  <c r="AH27" i="1" s="1"/>
  <c r="AK19" i="1"/>
  <c r="C26" i="13"/>
  <c r="F70" i="7"/>
  <c r="S13" i="3" s="1"/>
  <c r="G13" i="12" s="1"/>
  <c r="U102" i="8"/>
  <c r="F41" i="13" s="1"/>
  <c r="E34" i="13"/>
  <c r="E49" i="13"/>
  <c r="D37" i="13"/>
  <c r="S82" i="7"/>
  <c r="S86" i="7" s="1"/>
  <c r="AF28" i="1"/>
  <c r="AF14" i="3"/>
  <c r="AF26" i="1"/>
  <c r="X95" i="8"/>
  <c r="X44" i="8"/>
  <c r="X106" i="8" s="1"/>
  <c r="S19" i="1"/>
  <c r="G16" i="10"/>
  <c r="G19" i="10" s="1"/>
  <c r="AL15" i="1"/>
  <c r="Y70" i="7"/>
  <c r="AL13" i="3" s="1"/>
  <c r="I10" i="12"/>
  <c r="I11" i="12" s="1"/>
  <c r="I18" i="12" s="1"/>
  <c r="I36" i="12" s="1"/>
  <c r="J10" i="12"/>
  <c r="J11" i="12" s="1"/>
  <c r="D33" i="13"/>
  <c r="H33" i="10"/>
  <c r="H35" i="10" s="1"/>
  <c r="I33" i="10"/>
  <c r="I35" i="10" s="1"/>
  <c r="AE29" i="1"/>
  <c r="AE31" i="1" s="1"/>
  <c r="AE33" i="1" s="1"/>
  <c r="AE35" i="1" s="1"/>
  <c r="AE41" i="1" s="1"/>
  <c r="T129" i="8"/>
  <c r="T80" i="7" s="1"/>
  <c r="AG30" i="1" s="1"/>
  <c r="AG27" i="1"/>
  <c r="T77" i="7"/>
  <c r="AG14" i="3" s="1"/>
  <c r="T79" i="7"/>
  <c r="Y33" i="8"/>
  <c r="Y16" i="8"/>
  <c r="AF16" i="3" l="1"/>
  <c r="AF18" i="3" s="1"/>
  <c r="AF36" i="3" s="1"/>
  <c r="AF41" i="3" s="1"/>
  <c r="V74" i="8"/>
  <c r="V99" i="8"/>
  <c r="V102" i="8" s="1"/>
  <c r="X72" i="8"/>
  <c r="X99" i="8" s="1"/>
  <c r="V131" i="8"/>
  <c r="V78" i="7"/>
  <c r="AI27" i="1" s="1"/>
  <c r="AK9" i="3"/>
  <c r="W74" i="7"/>
  <c r="AJ9" i="1"/>
  <c r="AJ11" i="1" s="1"/>
  <c r="AJ21" i="1" s="1"/>
  <c r="W72" i="7"/>
  <c r="X47" i="7"/>
  <c r="X46" i="7" s="1"/>
  <c r="Y96" i="8"/>
  <c r="Y40" i="8"/>
  <c r="Y45" i="8"/>
  <c r="Y107" i="8" s="1"/>
  <c r="Y45" i="7"/>
  <c r="Y49" i="7"/>
  <c r="Y17" i="18"/>
  <c r="Y31" i="18"/>
  <c r="Y24" i="18"/>
  <c r="F96" i="8"/>
  <c r="F40" i="8"/>
  <c r="F47" i="8" s="1"/>
  <c r="F118" i="8" s="1"/>
  <c r="F45" i="8"/>
  <c r="F107" i="8" s="1"/>
  <c r="F49" i="8"/>
  <c r="F53" i="8" s="1"/>
  <c r="G40" i="8"/>
  <c r="G47" i="8" s="1"/>
  <c r="G118" i="8" s="1"/>
  <c r="F17" i="18"/>
  <c r="F24" i="18"/>
  <c r="F31" i="18"/>
  <c r="X96" i="8"/>
  <c r="X40" i="8"/>
  <c r="X47" i="8" s="1"/>
  <c r="X118" i="8" s="1"/>
  <c r="X45" i="8"/>
  <c r="X107" i="8" s="1"/>
  <c r="Y9" i="8"/>
  <c r="Y9" i="18"/>
  <c r="Y36" i="7"/>
  <c r="AL9" i="3" s="1"/>
  <c r="X17" i="18"/>
  <c r="X31" i="18"/>
  <c r="X24" i="18"/>
  <c r="K13" i="12"/>
  <c r="X19" i="8"/>
  <c r="X26" i="8" s="1"/>
  <c r="X117" i="8" s="1"/>
  <c r="W94" i="8"/>
  <c r="W24" i="8"/>
  <c r="W105" i="8" s="1"/>
  <c r="W56" i="8"/>
  <c r="W108" i="8" s="1"/>
  <c r="W59" i="8"/>
  <c r="W55" i="8"/>
  <c r="W57" i="8" s="1"/>
  <c r="W119" i="8" s="1"/>
  <c r="U138" i="8"/>
  <c r="U135" i="8" s="1"/>
  <c r="F36" i="7"/>
  <c r="F47" i="7"/>
  <c r="F9" i="18" s="1"/>
  <c r="U131" i="8"/>
  <c r="F48" i="13"/>
  <c r="F49" i="13"/>
  <c r="D34" i="13"/>
  <c r="D49" i="13"/>
  <c r="AF29" i="1"/>
  <c r="AF31" i="1" s="1"/>
  <c r="AF33" i="1" s="1"/>
  <c r="AF35" i="1" s="1"/>
  <c r="AF41" i="1" s="1"/>
  <c r="X97" i="8"/>
  <c r="X56" i="8"/>
  <c r="X108" i="8" s="1"/>
  <c r="X55" i="8"/>
  <c r="X57" i="8" s="1"/>
  <c r="X119" i="8" s="1"/>
  <c r="AL19" i="1"/>
  <c r="K15" i="10"/>
  <c r="K19" i="10" s="1"/>
  <c r="I41" i="10"/>
  <c r="E38" i="13"/>
  <c r="AG28" i="1"/>
  <c r="AG15" i="3"/>
  <c r="H41" i="10"/>
  <c r="D38" i="13"/>
  <c r="J27" i="10"/>
  <c r="F51" i="13" s="1"/>
  <c r="U79" i="7"/>
  <c r="U77" i="7"/>
  <c r="AG26" i="1"/>
  <c r="T82" i="7"/>
  <c r="T86" i="7" s="1"/>
  <c r="Y35" i="8"/>
  <c r="Y49" i="8"/>
  <c r="Y53" i="8" s="1"/>
  <c r="Y95" i="8"/>
  <c r="Y44" i="8"/>
  <c r="Y106" i="8" s="1"/>
  <c r="Y94" i="8"/>
  <c r="Y19" i="8"/>
  <c r="Y26" i="8" s="1"/>
  <c r="Y117" i="8" s="1"/>
  <c r="Y24" i="8"/>
  <c r="Y105" i="8" s="1"/>
  <c r="X75" i="8" l="1"/>
  <c r="X110" i="8" s="1"/>
  <c r="K9" i="12"/>
  <c r="W72" i="8"/>
  <c r="W99" i="8" s="1"/>
  <c r="W102" i="8" s="1"/>
  <c r="V76" i="8"/>
  <c r="V121" i="8" s="1"/>
  <c r="V124" i="8" s="1"/>
  <c r="V133" i="8" s="1"/>
  <c r="V129" i="8" s="1"/>
  <c r="V80" i="7" s="1"/>
  <c r="AI30" i="1" s="1"/>
  <c r="V77" i="7"/>
  <c r="AI14" i="3" s="1"/>
  <c r="V79" i="7"/>
  <c r="AI28" i="1" s="1"/>
  <c r="AL8" i="1"/>
  <c r="K8" i="10" s="1"/>
  <c r="G29" i="13" s="1"/>
  <c r="X9" i="8"/>
  <c r="X46" i="8" s="1"/>
  <c r="Y47" i="8"/>
  <c r="Y118" i="8" s="1"/>
  <c r="X9" i="18"/>
  <c r="X45" i="7"/>
  <c r="X49" i="7"/>
  <c r="X102" i="8"/>
  <c r="Y33" i="18"/>
  <c r="Y58" i="7" s="1"/>
  <c r="Y59" i="7" s="1"/>
  <c r="X33" i="18"/>
  <c r="X58" i="7" s="1"/>
  <c r="X59" i="7" s="1"/>
  <c r="F33" i="18"/>
  <c r="F58" i="7" s="1"/>
  <c r="F59" i="7" s="1"/>
  <c r="Y25" i="8"/>
  <c r="Y46" i="8"/>
  <c r="F59" i="8"/>
  <c r="F56" i="8"/>
  <c r="F108" i="8" s="1"/>
  <c r="F55" i="8"/>
  <c r="F57" i="8" s="1"/>
  <c r="F119" i="8" s="1"/>
  <c r="F97" i="8"/>
  <c r="G55" i="8"/>
  <c r="G57" i="8" s="1"/>
  <c r="G119" i="8" s="1"/>
  <c r="U129" i="8"/>
  <c r="U80" i="7" s="1"/>
  <c r="AH30" i="1" s="1"/>
  <c r="F46" i="7"/>
  <c r="F49" i="7"/>
  <c r="F45" i="7"/>
  <c r="F9" i="8"/>
  <c r="S9" i="3"/>
  <c r="S8" i="1"/>
  <c r="D39" i="13"/>
  <c r="D50" i="13"/>
  <c r="E39" i="13"/>
  <c r="E50" i="13"/>
  <c r="AH26" i="1"/>
  <c r="J26" i="10" s="1"/>
  <c r="AH14" i="3"/>
  <c r="AH28" i="1"/>
  <c r="J28" i="10" s="1"/>
  <c r="AG16" i="3"/>
  <c r="AG18" i="3" s="1"/>
  <c r="AG36" i="3" s="1"/>
  <c r="AG41" i="3" s="1"/>
  <c r="AG29" i="1"/>
  <c r="AG31" i="1" s="1"/>
  <c r="AG33" i="1" s="1"/>
  <c r="AG35" i="1" s="1"/>
  <c r="AG41" i="1" s="1"/>
  <c r="Y59" i="8"/>
  <c r="Y72" i="8" s="1"/>
  <c r="Y56" i="8"/>
  <c r="Y108" i="8" s="1"/>
  <c r="Y55" i="8"/>
  <c r="Y57" i="8" s="1"/>
  <c r="Y119" i="8" s="1"/>
  <c r="Y97" i="8"/>
  <c r="W75" i="8" l="1"/>
  <c r="W110" i="8" s="1"/>
  <c r="W114" i="8" s="1"/>
  <c r="W128" i="8" s="1"/>
  <c r="W138" i="8" s="1"/>
  <c r="W135" i="8" s="1"/>
  <c r="X74" i="8"/>
  <c r="W74" i="8"/>
  <c r="AI26" i="1"/>
  <c r="AI29" i="1" s="1"/>
  <c r="AI31" i="1" s="1"/>
  <c r="AI33" i="1" s="1"/>
  <c r="AI35" i="1" s="1"/>
  <c r="AI41" i="1" s="1"/>
  <c r="X25" i="8"/>
  <c r="X113" i="8" s="1"/>
  <c r="X114" i="8" s="1"/>
  <c r="X128" i="8" s="1"/>
  <c r="X138" i="8" s="1"/>
  <c r="X135" i="8" s="1"/>
  <c r="AI15" i="3"/>
  <c r="AI16" i="3" s="1"/>
  <c r="AI18" i="3" s="1"/>
  <c r="AI36" i="3" s="1"/>
  <c r="AI41" i="3" s="1"/>
  <c r="V82" i="7"/>
  <c r="V86" i="7" s="1"/>
  <c r="F74" i="7"/>
  <c r="AL10" i="3"/>
  <c r="AL11" i="3" s="1"/>
  <c r="Y72" i="7"/>
  <c r="AL9" i="1"/>
  <c r="AL11" i="1" s="1"/>
  <c r="AL21" i="1" s="1"/>
  <c r="AK10" i="3"/>
  <c r="X72" i="7"/>
  <c r="AK9" i="1"/>
  <c r="X74" i="7"/>
  <c r="Y113" i="8"/>
  <c r="S10" i="3"/>
  <c r="G10" i="12" s="1"/>
  <c r="F72" i="7"/>
  <c r="S9" i="1"/>
  <c r="G9" i="10" s="1"/>
  <c r="C30" i="13" s="1"/>
  <c r="Y74" i="7"/>
  <c r="F99" i="8"/>
  <c r="F102" i="8" s="1"/>
  <c r="F75" i="8"/>
  <c r="F110" i="8" s="1"/>
  <c r="F74" i="8"/>
  <c r="F121" i="8" s="1"/>
  <c r="F124" i="8" s="1"/>
  <c r="F133" i="8" s="1"/>
  <c r="G74" i="8"/>
  <c r="G121" i="8" s="1"/>
  <c r="G124" i="8" s="1"/>
  <c r="G133" i="8" s="1"/>
  <c r="G129" i="8" s="1"/>
  <c r="G80" i="7" s="1"/>
  <c r="U82" i="7"/>
  <c r="U86" i="7" s="1"/>
  <c r="AH15" i="3"/>
  <c r="J15" i="12" s="1"/>
  <c r="G9" i="12"/>
  <c r="G8" i="10"/>
  <c r="C29" i="13" s="1"/>
  <c r="F46" i="8"/>
  <c r="F25" i="8"/>
  <c r="J29" i="10"/>
  <c r="J14" i="12"/>
  <c r="AH29" i="1"/>
  <c r="AH31" i="1" s="1"/>
  <c r="AH33" i="1" s="1"/>
  <c r="AH35" i="1" s="1"/>
  <c r="AH41" i="1" s="1"/>
  <c r="Y74" i="8"/>
  <c r="Y75" i="8"/>
  <c r="Y110" i="8" s="1"/>
  <c r="Y99" i="8"/>
  <c r="W131" i="8" l="1"/>
  <c r="W78" i="7"/>
  <c r="AJ27" i="1" s="1"/>
  <c r="X131" i="8"/>
  <c r="X78" i="7"/>
  <c r="AK27" i="1" s="1"/>
  <c r="Y76" i="8"/>
  <c r="Y121" i="8" s="1"/>
  <c r="Y124" i="8" s="1"/>
  <c r="Y133" i="8" s="1"/>
  <c r="W76" i="8"/>
  <c r="W121" i="8" s="1"/>
  <c r="W124" i="8" s="1"/>
  <c r="W133" i="8" s="1"/>
  <c r="X76" i="8"/>
  <c r="X121" i="8" s="1"/>
  <c r="X124" i="8" s="1"/>
  <c r="X133" i="8" s="1"/>
  <c r="S11" i="1"/>
  <c r="S21" i="1" s="1"/>
  <c r="S11" i="3"/>
  <c r="G11" i="12"/>
  <c r="G11" i="10"/>
  <c r="C31" i="13" s="1"/>
  <c r="C48" i="13" s="1"/>
  <c r="AK11" i="1"/>
  <c r="AK21" i="1" s="1"/>
  <c r="K9" i="10"/>
  <c r="AK11" i="3"/>
  <c r="K10" i="12"/>
  <c r="K11" i="12" s="1"/>
  <c r="Y114" i="8"/>
  <c r="Y128" i="8" s="1"/>
  <c r="Y138" i="8" s="1"/>
  <c r="Y135" i="8" s="1"/>
  <c r="T15" i="3"/>
  <c r="T16" i="3" s="1"/>
  <c r="T18" i="3" s="1"/>
  <c r="T36" i="3" s="1"/>
  <c r="T41" i="3" s="1"/>
  <c r="T30" i="1"/>
  <c r="T31" i="1" s="1"/>
  <c r="T33" i="1" s="1"/>
  <c r="T35" i="1" s="1"/>
  <c r="T41" i="1" s="1"/>
  <c r="G82" i="7"/>
  <c r="G86" i="7" s="1"/>
  <c r="AH16" i="3"/>
  <c r="AH18" i="3" s="1"/>
  <c r="AH36" i="3" s="1"/>
  <c r="AH41" i="3" s="1"/>
  <c r="J41" i="12" s="1"/>
  <c r="J16" i="12"/>
  <c r="J18" i="12" s="1"/>
  <c r="J36" i="12" s="1"/>
  <c r="F113" i="8"/>
  <c r="F114" i="8" s="1"/>
  <c r="F128" i="8" s="1"/>
  <c r="F138" i="8" s="1"/>
  <c r="F135" i="8" s="1"/>
  <c r="Y102" i="8"/>
  <c r="G41" i="13" s="1"/>
  <c r="W79" i="7" l="1"/>
  <c r="AJ28" i="1" s="1"/>
  <c r="W77" i="7"/>
  <c r="AJ26" i="1" s="1"/>
  <c r="W129" i="8"/>
  <c r="W80" i="7" s="1"/>
  <c r="AJ30" i="1" s="1"/>
  <c r="X129" i="8"/>
  <c r="X80" i="7" s="1"/>
  <c r="AK30" i="1" s="1"/>
  <c r="X79" i="7"/>
  <c r="AK28" i="1" s="1"/>
  <c r="X77" i="7"/>
  <c r="AK26" i="1" s="1"/>
  <c r="G21" i="10"/>
  <c r="C33" i="13" s="1"/>
  <c r="C49" i="13" s="1"/>
  <c r="Y78" i="7"/>
  <c r="AL27" i="1" s="1"/>
  <c r="K27" i="10" s="1"/>
  <c r="G51" i="13" s="1"/>
  <c r="Y131" i="8"/>
  <c r="Y129" i="8" s="1"/>
  <c r="Y80" i="7" s="1"/>
  <c r="AL30" i="1" s="1"/>
  <c r="K11" i="10"/>
  <c r="K21" i="10" s="1"/>
  <c r="G33" i="13" s="1"/>
  <c r="G49" i="13" s="1"/>
  <c r="G30" i="13"/>
  <c r="F78" i="7"/>
  <c r="S27" i="1" s="1"/>
  <c r="G27" i="10" s="1"/>
  <c r="C51" i="13" s="1"/>
  <c r="F131" i="8"/>
  <c r="F129" i="8" s="1"/>
  <c r="F80" i="7" s="1"/>
  <c r="S30" i="1" s="1"/>
  <c r="G30" i="10" s="1"/>
  <c r="AJ14" i="3" l="1"/>
  <c r="AJ29" i="1"/>
  <c r="AJ31" i="1" s="1"/>
  <c r="AJ33" i="1" s="1"/>
  <c r="AJ35" i="1" s="1"/>
  <c r="AJ41" i="1" s="1"/>
  <c r="AJ15" i="3"/>
  <c r="W82" i="7"/>
  <c r="W86" i="7" s="1"/>
  <c r="AK29" i="1"/>
  <c r="AK31" i="1" s="1"/>
  <c r="AK33" i="1" s="1"/>
  <c r="AK35" i="1" s="1"/>
  <c r="AK41" i="1" s="1"/>
  <c r="AK14" i="3"/>
  <c r="X82" i="7"/>
  <c r="X86" i="7" s="1"/>
  <c r="AK15" i="3"/>
  <c r="G31" i="13"/>
  <c r="G34" i="13" s="1"/>
  <c r="Y79" i="7"/>
  <c r="AL15" i="3" s="1"/>
  <c r="Y77" i="7"/>
  <c r="AL14" i="3" s="1"/>
  <c r="C34" i="13"/>
  <c r="F77" i="7"/>
  <c r="S26" i="1" s="1"/>
  <c r="F79" i="7"/>
  <c r="S28" i="1" s="1"/>
  <c r="G28" i="10" s="1"/>
  <c r="J30" i="10"/>
  <c r="J31" i="10" s="1"/>
  <c r="F37" i="13" s="1"/>
  <c r="K30" i="10"/>
  <c r="AJ16" i="3" l="1"/>
  <c r="AJ18" i="3" s="1"/>
  <c r="AJ36" i="3" s="1"/>
  <c r="AJ41" i="3" s="1"/>
  <c r="K14" i="12"/>
  <c r="AK16" i="3"/>
  <c r="AK18" i="3" s="1"/>
  <c r="AK36" i="3" s="1"/>
  <c r="AK41" i="3" s="1"/>
  <c r="K15" i="12"/>
  <c r="AL28" i="1"/>
  <c r="K28" i="10" s="1"/>
  <c r="G48" i="13"/>
  <c r="Y82" i="7"/>
  <c r="Y86" i="7" s="1"/>
  <c r="AL26" i="1"/>
  <c r="K26" i="10" s="1"/>
  <c r="S14" i="3"/>
  <c r="G14" i="12" s="1"/>
  <c r="F82" i="7"/>
  <c r="F86" i="7" s="1"/>
  <c r="S15" i="3"/>
  <c r="G15" i="12" s="1"/>
  <c r="G26" i="10"/>
  <c r="G29" i="10" s="1"/>
  <c r="G31" i="10" s="1"/>
  <c r="S29" i="1"/>
  <c r="S31" i="1" s="1"/>
  <c r="S33" i="1" s="1"/>
  <c r="S35" i="1" s="1"/>
  <c r="S41" i="1" s="1"/>
  <c r="R47" i="2" s="1"/>
  <c r="AL16" i="3"/>
  <c r="AL18" i="3" s="1"/>
  <c r="AL36" i="3" s="1"/>
  <c r="AL41" i="3" s="1"/>
  <c r="J33" i="10"/>
  <c r="J35" i="10" s="1"/>
  <c r="K41" i="12" l="1"/>
  <c r="K16" i="12"/>
  <c r="K18" i="12" s="1"/>
  <c r="K36" i="12" s="1"/>
  <c r="K29" i="10"/>
  <c r="K31" i="10" s="1"/>
  <c r="G37" i="13" s="1"/>
  <c r="AL29" i="1"/>
  <c r="AL31" i="1" s="1"/>
  <c r="AL33" i="1" s="1"/>
  <c r="AL35" i="1" s="1"/>
  <c r="AL41" i="1" s="1"/>
  <c r="S16" i="3"/>
  <c r="S18" i="3" s="1"/>
  <c r="S36" i="3" s="1"/>
  <c r="S41" i="3" s="1"/>
  <c r="S40" i="3" s="1"/>
  <c r="G16" i="12"/>
  <c r="G18" i="12" s="1"/>
  <c r="G36" i="12" s="1"/>
  <c r="R50" i="2"/>
  <c r="S47" i="2"/>
  <c r="G33" i="10"/>
  <c r="G35" i="10" s="1"/>
  <c r="C37" i="13"/>
  <c r="J41" i="10"/>
  <c r="F38" i="13"/>
  <c r="K33" i="10" l="1"/>
  <c r="K35" i="10" s="1"/>
  <c r="G38" i="13" s="1"/>
  <c r="G41" i="12"/>
  <c r="C38" i="13"/>
  <c r="G41" i="10"/>
  <c r="T39" i="3"/>
  <c r="T40" i="3" s="1"/>
  <c r="R12" i="2"/>
  <c r="R19" i="2" s="1"/>
  <c r="R35" i="2" s="1"/>
  <c r="R37" i="2" s="1"/>
  <c r="R44" i="2" s="1"/>
  <c r="T47" i="2"/>
  <c r="S50" i="2"/>
  <c r="F50" i="13"/>
  <c r="F39" i="13"/>
  <c r="K41" i="10" l="1"/>
  <c r="U47" i="2"/>
  <c r="T50" i="2"/>
  <c r="U39" i="3"/>
  <c r="U40" i="3" s="1"/>
  <c r="S12" i="2"/>
  <c r="S19" i="2" s="1"/>
  <c r="S35" i="2" s="1"/>
  <c r="S37" i="2" s="1"/>
  <c r="S44" i="2" s="1"/>
  <c r="C39" i="13"/>
  <c r="C50" i="13"/>
  <c r="G50" i="13"/>
  <c r="G39" i="13"/>
  <c r="V39" i="3" l="1"/>
  <c r="T12" i="2"/>
  <c r="T19" i="2" s="1"/>
  <c r="T35" i="2" s="1"/>
  <c r="T37" i="2" s="1"/>
  <c r="T44" i="2" s="1"/>
  <c r="F47" i="11"/>
  <c r="F50" i="11" s="1"/>
  <c r="V47" i="2"/>
  <c r="U50" i="2"/>
  <c r="W47" i="2" l="1"/>
  <c r="V50" i="2"/>
  <c r="G39" i="12"/>
  <c r="V40" i="3"/>
  <c r="U12" i="2" l="1"/>
  <c r="W39" i="3"/>
  <c r="W40" i="3" s="1"/>
  <c r="G40" i="12"/>
  <c r="X47" i="2"/>
  <c r="W50" i="2"/>
  <c r="V12" i="2" l="1"/>
  <c r="V19" i="2" s="1"/>
  <c r="V35" i="2" s="1"/>
  <c r="V37" i="2" s="1"/>
  <c r="V44" i="2" s="1"/>
  <c r="X39" i="3"/>
  <c r="X40" i="3" s="1"/>
  <c r="Y47" i="2"/>
  <c r="X50" i="2"/>
  <c r="U19" i="2"/>
  <c r="U35" i="2" s="1"/>
  <c r="U37" i="2" s="1"/>
  <c r="U44" i="2" s="1"/>
  <c r="F12" i="11"/>
  <c r="F19" i="11" s="1"/>
  <c r="F35" i="11" s="1"/>
  <c r="F37" i="11" s="1"/>
  <c r="F44" i="11" s="1"/>
  <c r="G47" i="11" l="1"/>
  <c r="G50" i="11" s="1"/>
  <c r="Z47" i="2"/>
  <c r="Y50" i="2"/>
  <c r="W12" i="2"/>
  <c r="W19" i="2" s="1"/>
  <c r="W35" i="2" s="1"/>
  <c r="W37" i="2" s="1"/>
  <c r="W44" i="2" s="1"/>
  <c r="Y39" i="3"/>
  <c r="Y40" i="3" s="1"/>
  <c r="X12" i="2" l="1"/>
  <c r="X19" i="2" s="1"/>
  <c r="X35" i="2" s="1"/>
  <c r="X37" i="2" s="1"/>
  <c r="X44" i="2" s="1"/>
  <c r="Z39" i="3"/>
  <c r="Z50" i="2"/>
  <c r="AA47" i="2"/>
  <c r="AB47" i="2" l="1"/>
  <c r="AA50" i="2"/>
  <c r="Z40" i="3"/>
  <c r="H39" i="12"/>
  <c r="Y12" i="2" l="1"/>
  <c r="H40" i="12"/>
  <c r="AA39" i="3"/>
  <c r="AA40" i="3" s="1"/>
  <c r="AB50" i="2"/>
  <c r="AC47" i="2"/>
  <c r="H47" i="11" l="1"/>
  <c r="H50" i="11" s="1"/>
  <c r="AC50" i="2"/>
  <c r="AD47" i="2"/>
  <c r="AB39" i="3"/>
  <c r="AB40" i="3" s="1"/>
  <c r="Z12" i="2"/>
  <c r="Z19" i="2" s="1"/>
  <c r="Z35" i="2" s="1"/>
  <c r="Z37" i="2" s="1"/>
  <c r="Z44" i="2" s="1"/>
  <c r="Y19" i="2"/>
  <c r="Y35" i="2" s="1"/>
  <c r="Y37" i="2" s="1"/>
  <c r="Y44" i="2" s="1"/>
  <c r="G12" i="11"/>
  <c r="G19" i="11" s="1"/>
  <c r="G35" i="11" s="1"/>
  <c r="G37" i="11" s="1"/>
  <c r="G44" i="11" s="1"/>
  <c r="AE47" i="2" l="1"/>
  <c r="AD50" i="2"/>
  <c r="AA12" i="2"/>
  <c r="AA19" i="2" s="1"/>
  <c r="AA35" i="2" s="1"/>
  <c r="AA37" i="2" s="1"/>
  <c r="AA44" i="2" s="1"/>
  <c r="AC39" i="3"/>
  <c r="AC40" i="3" s="1"/>
  <c r="AD39" i="3" l="1"/>
  <c r="AB12" i="2"/>
  <c r="AB19" i="2" s="1"/>
  <c r="AB35" i="2" s="1"/>
  <c r="AB37" i="2" s="1"/>
  <c r="AB44" i="2" s="1"/>
  <c r="AE50" i="2"/>
  <c r="AF47" i="2"/>
  <c r="AG47" i="2" l="1"/>
  <c r="AF50" i="2"/>
  <c r="I39" i="12"/>
  <c r="AD40" i="3"/>
  <c r="AE39" i="3" l="1"/>
  <c r="AE40" i="3" s="1"/>
  <c r="AC12" i="2"/>
  <c r="I40" i="12"/>
  <c r="I47" i="11"/>
  <c r="I50" i="11" s="1"/>
  <c r="AG50" i="2"/>
  <c r="AH47" i="2"/>
  <c r="AH50" i="2" l="1"/>
  <c r="AI47" i="2"/>
  <c r="AC19" i="2"/>
  <c r="AC35" i="2" s="1"/>
  <c r="AC37" i="2" s="1"/>
  <c r="AC44" i="2" s="1"/>
  <c r="H12" i="11"/>
  <c r="H19" i="11" s="1"/>
  <c r="H35" i="11" s="1"/>
  <c r="H37" i="11" s="1"/>
  <c r="H44" i="11" s="1"/>
  <c r="AF39" i="3"/>
  <c r="AF40" i="3" s="1"/>
  <c r="AD12" i="2"/>
  <c r="AD19" i="2" s="1"/>
  <c r="AD35" i="2" s="1"/>
  <c r="AD37" i="2" s="1"/>
  <c r="AD44" i="2" s="1"/>
  <c r="AG39" i="3" l="1"/>
  <c r="AG40" i="3" s="1"/>
  <c r="AE12" i="2"/>
  <c r="AE19" i="2" s="1"/>
  <c r="AE35" i="2" s="1"/>
  <c r="AE37" i="2" s="1"/>
  <c r="AE44" i="2" s="1"/>
  <c r="AJ47" i="2"/>
  <c r="AI50" i="2"/>
  <c r="AK47" i="2" l="1"/>
  <c r="AJ50" i="2"/>
  <c r="AH39" i="3"/>
  <c r="AF12" i="2"/>
  <c r="AF19" i="2" s="1"/>
  <c r="AF35" i="2" s="1"/>
  <c r="AF37" i="2" s="1"/>
  <c r="AF44" i="2" s="1"/>
  <c r="AH40" i="3" l="1"/>
  <c r="J39" i="12"/>
  <c r="AK50" i="2"/>
  <c r="J47" i="11"/>
  <c r="J50" i="11" s="1"/>
  <c r="AG12" i="2" l="1"/>
  <c r="J40" i="12"/>
  <c r="AI39" i="3"/>
  <c r="AI40" i="3" s="1"/>
  <c r="AJ39" i="3" l="1"/>
  <c r="AJ40" i="3" s="1"/>
  <c r="AH12" i="2"/>
  <c r="AH19" i="2" s="1"/>
  <c r="AH35" i="2" s="1"/>
  <c r="AH37" i="2" s="1"/>
  <c r="AH44" i="2" s="1"/>
  <c r="I12" i="11"/>
  <c r="I19" i="11" s="1"/>
  <c r="I35" i="11" s="1"/>
  <c r="I37" i="11" s="1"/>
  <c r="I44" i="11" s="1"/>
  <c r="AG19" i="2"/>
  <c r="AG35" i="2" s="1"/>
  <c r="AG37" i="2" s="1"/>
  <c r="AG44" i="2" s="1"/>
  <c r="AI12" i="2" l="1"/>
  <c r="AI19" i="2" s="1"/>
  <c r="AI35" i="2" s="1"/>
  <c r="AI37" i="2" s="1"/>
  <c r="AI44" i="2" s="1"/>
  <c r="AK39" i="3"/>
  <c r="AK40" i="3" s="1"/>
  <c r="AL39" i="3" l="1"/>
  <c r="AJ12" i="2"/>
  <c r="AJ19" i="2" s="1"/>
  <c r="AJ35" i="2" s="1"/>
  <c r="AJ37" i="2" s="1"/>
  <c r="AJ44" i="2" s="1"/>
  <c r="K39" i="12" l="1"/>
  <c r="AL40" i="3"/>
  <c r="AK12" i="2" l="1"/>
  <c r="K40" i="12"/>
  <c r="J12" i="11" l="1"/>
  <c r="J19" i="11" s="1"/>
  <c r="J35" i="11" s="1"/>
  <c r="J37" i="11" s="1"/>
  <c r="J44" i="11" s="1"/>
  <c r="AK19" i="2"/>
  <c r="AK35" i="2" s="1"/>
  <c r="AK37" i="2" s="1"/>
  <c r="AK44" i="2" s="1"/>
</calcChain>
</file>

<file path=xl/sharedStrings.xml><?xml version="1.0" encoding="utf-8"?>
<sst xmlns="http://schemas.openxmlformats.org/spreadsheetml/2006/main" count="603" uniqueCount="346">
  <si>
    <t>Profit and Loss</t>
  </si>
  <si>
    <t>Account</t>
  </si>
  <si>
    <t>Jan-Mar 2019</t>
  </si>
  <si>
    <t>Apr-Jun 2019</t>
  </si>
  <si>
    <t>Jul-Sep 2021</t>
  </si>
  <si>
    <t>Oct-Dec 2019</t>
  </si>
  <si>
    <t>Jan-Mar 2020</t>
  </si>
  <si>
    <t>Apr-Jun 2020</t>
  </si>
  <si>
    <t>Jul-Sep 2020</t>
  </si>
  <si>
    <t>Oct-Dec 2020</t>
  </si>
  <si>
    <t>Jan-Mar 2021</t>
  </si>
  <si>
    <t>Apr-Jun 2021</t>
  </si>
  <si>
    <t>Oct-Dec 2021</t>
  </si>
  <si>
    <t>Jan-Mar 2022</t>
  </si>
  <si>
    <t>Apr-Jun 2022</t>
  </si>
  <si>
    <t>Jul-Sep 2022</t>
  </si>
  <si>
    <t>Oct-Dec 2022</t>
  </si>
  <si>
    <t>Turnover</t>
  </si>
  <si>
    <t>Sales</t>
  </si>
  <si>
    <t>Other Revenue</t>
  </si>
  <si>
    <t>Interest Income</t>
  </si>
  <si>
    <t>Total Turnover</t>
  </si>
  <si>
    <t>Cost of Sales</t>
  </si>
  <si>
    <t>Direct Expenses</t>
  </si>
  <si>
    <t>Total Cost of Sales</t>
  </si>
  <si>
    <t>Gross Profit</t>
  </si>
  <si>
    <t>Operating costs</t>
  </si>
  <si>
    <t>Marketing</t>
  </si>
  <si>
    <t>Team cost</t>
  </si>
  <si>
    <t>Freelance</t>
  </si>
  <si>
    <t>Salaries</t>
  </si>
  <si>
    <t>Pensions Costs</t>
  </si>
  <si>
    <t>Total Team cost</t>
  </si>
  <si>
    <t>Administrative costs</t>
  </si>
  <si>
    <t>Total Operating costs</t>
  </si>
  <si>
    <t>Operating Profit</t>
  </si>
  <si>
    <t>Profit on Ordinary Activities Before Taxation</t>
  </si>
  <si>
    <t>Taxation</t>
  </si>
  <si>
    <t>Corporation Tax</t>
  </si>
  <si>
    <t>Total Taxation</t>
  </si>
  <si>
    <t>Profit after Taxation</t>
  </si>
  <si>
    <t>2. Net revenue from services</t>
  </si>
  <si>
    <t>Total Net revenue from services</t>
  </si>
  <si>
    <t>Total Capital and Reserves</t>
  </si>
  <si>
    <t>Seed Preference Shares</t>
  </si>
  <si>
    <t>Retained Earnings</t>
  </si>
  <si>
    <t>Current Year Earnings</t>
  </si>
  <si>
    <t>Capital and Reserves</t>
  </si>
  <si>
    <t>Net Assets</t>
  </si>
  <si>
    <t>Total Creditors: amounts falling due after more than one year</t>
  </si>
  <si>
    <t>Shareholder Loan</t>
  </si>
  <si>
    <t>Loan</t>
  </si>
  <si>
    <t>Creditors: amounts falling due after more than one year</t>
  </si>
  <si>
    <t>Total Assets less Current Liabilities</t>
  </si>
  <si>
    <t>Net Current Assets (Liabilities)</t>
  </si>
  <si>
    <t>Total Creditors: amounts falling due within one year</t>
  </si>
  <si>
    <t>Payroll Liability</t>
  </si>
  <si>
    <t>Other creditors</t>
  </si>
  <si>
    <t>Wages Payable - Payroll</t>
  </si>
  <si>
    <t>VAT</t>
  </si>
  <si>
    <t>Rounding</t>
  </si>
  <si>
    <t>Pensions Payable</t>
  </si>
  <si>
    <t>Directors' Loan Account</t>
  </si>
  <si>
    <t>Accruals</t>
  </si>
  <si>
    <t>Accounts Payable</t>
  </si>
  <si>
    <t>Creditors: amounts falling due within one year</t>
  </si>
  <si>
    <t>Total Current Assets</t>
  </si>
  <si>
    <t>Other Deposits</t>
  </si>
  <si>
    <t>Debtors</t>
  </si>
  <si>
    <t>Cash at bank and in hand</t>
  </si>
  <si>
    <t>Current Assets</t>
  </si>
  <si>
    <t>Total Fixed Assets</t>
  </si>
  <si>
    <t>Tangible Assets</t>
  </si>
  <si>
    <t>Fixed Assets</t>
  </si>
  <si>
    <t>31 Dec 2022</t>
  </si>
  <si>
    <t>30 Sep 2022</t>
  </si>
  <si>
    <t>30 Jun 2022</t>
  </si>
  <si>
    <t>31 Mar 2022</t>
  </si>
  <si>
    <t>31 Dec 2021</t>
  </si>
  <si>
    <t>30 Sep 2021</t>
  </si>
  <si>
    <t>30 Jun 2021</t>
  </si>
  <si>
    <t>31 Mar 2021</t>
  </si>
  <si>
    <t>31 Dec 2020</t>
  </si>
  <si>
    <t>30 Sep 2020</t>
  </si>
  <si>
    <t>30 Jun 2020</t>
  </si>
  <si>
    <t>31 Mar 2020</t>
  </si>
  <si>
    <t>31 Dec 2019</t>
  </si>
  <si>
    <t>30 Sep 2019</t>
  </si>
  <si>
    <t>30 Jun 2019</t>
  </si>
  <si>
    <t>31 Mar 2019</t>
  </si>
  <si>
    <t>Balance Sheet</t>
  </si>
  <si>
    <t>Net change in cash for period</t>
  </si>
  <si>
    <t>Cash and cash equivalents at end of period</t>
  </si>
  <si>
    <t>Cash and cash equivalents at beginning of period</t>
  </si>
  <si>
    <t>Cash and Cash Equivalents</t>
  </si>
  <si>
    <t>Net Cash Flows</t>
  </si>
  <si>
    <t>Net Cash Flows from Financing Activities</t>
  </si>
  <si>
    <t>Total Equity financing activity</t>
  </si>
  <si>
    <t>Equity financing activity</t>
  </si>
  <si>
    <t>Repayment of long-term loans</t>
  </si>
  <si>
    <t>Financing Activities</t>
  </si>
  <si>
    <t>Net Cash Flows from Investing Activities</t>
  </si>
  <si>
    <t>Total Other cash items from investing activities</t>
  </si>
  <si>
    <t>Other cash items from investing activities</t>
  </si>
  <si>
    <t>Payment for property, plant and equipment</t>
  </si>
  <si>
    <t>Proceeds from sale of property, plant and equipment</t>
  </si>
  <si>
    <t>Investing Activities</t>
  </si>
  <si>
    <t>Net Cash Flows from Operating Activities</t>
  </si>
  <si>
    <t>Cash payments from other operating activities</t>
  </si>
  <si>
    <t>Total Payments to suppliers and employees</t>
  </si>
  <si>
    <t>Other suppliers</t>
  </si>
  <si>
    <t>Employees &amp; freelancers</t>
  </si>
  <si>
    <t>Payments to suppliers and employees</t>
  </si>
  <si>
    <t>Total Receipts from customers</t>
  </si>
  <si>
    <t>Receipts from customers</t>
  </si>
  <si>
    <t>Operating Activities</t>
  </si>
  <si>
    <t>Jul-Sep 2019</t>
  </si>
  <si>
    <t>Statement of Cash Flows</t>
  </si>
  <si>
    <t xml:space="preserve">Marketing </t>
  </si>
  <si>
    <t>Year</t>
  </si>
  <si>
    <t>Quarter</t>
  </si>
  <si>
    <t>Marketing spend</t>
  </si>
  <si>
    <t>Cost per lead</t>
  </si>
  <si>
    <t>Client win rate</t>
  </si>
  <si>
    <t>Marketing growth rate per quarter</t>
  </si>
  <si>
    <t>Completed</t>
  </si>
  <si>
    <t>Cost per lead without platform</t>
  </si>
  <si>
    <t>Cost per lead with platform</t>
  </si>
  <si>
    <t>1=No platform, 2=platform</t>
  </si>
  <si>
    <t>Quarters to sell</t>
  </si>
  <si>
    <t>Sales rate</t>
  </si>
  <si>
    <t>Operational</t>
  </si>
  <si>
    <t>Gross commission</t>
  </si>
  <si>
    <t>Avg gross fee per sale</t>
  </si>
  <si>
    <t>% direct without platform</t>
  </si>
  <si>
    <t>% direct with platform</t>
  </si>
  <si>
    <t>3 quarters</t>
  </si>
  <si>
    <t>2 quarters</t>
  </si>
  <si>
    <t>4 quarters</t>
  </si>
  <si>
    <t>Average gross commission</t>
  </si>
  <si>
    <t>Direct cost of sales</t>
  </si>
  <si>
    <t>Deposits received</t>
  </si>
  <si>
    <t>Onboarding deposit value</t>
  </si>
  <si>
    <t>Deposits refunded by time</t>
  </si>
  <si>
    <t>Deposits refunded against sales</t>
  </si>
  <si>
    <t>Total Gross revenue</t>
  </si>
  <si>
    <t>Total revenue from services</t>
  </si>
  <si>
    <t>Total cost of services</t>
  </si>
  <si>
    <t>Net revenue from services</t>
  </si>
  <si>
    <t>Revenue from services</t>
  </si>
  <si>
    <t>Gross profit</t>
  </si>
  <si>
    <t>Interest income</t>
  </si>
  <si>
    <t>Freelancers</t>
  </si>
  <si>
    <t>Pensions</t>
  </si>
  <si>
    <t>Admin costs</t>
  </si>
  <si>
    <t>Operating profit</t>
  </si>
  <si>
    <t>Tax</t>
  </si>
  <si>
    <t>Net profit</t>
  </si>
  <si>
    <t>Freelance to FTE mix</t>
  </si>
  <si>
    <t>Key KPIs</t>
  </si>
  <si>
    <t>Sales team</t>
  </si>
  <si>
    <t>Instructions per sales person per quarter</t>
  </si>
  <si>
    <t>Sales people</t>
  </si>
  <si>
    <t>New hires</t>
  </si>
  <si>
    <t>Recruitment fees</t>
  </si>
  <si>
    <t>Net revenue</t>
  </si>
  <si>
    <t>Sales team - KPIs</t>
  </si>
  <si>
    <t>Base salary</t>
  </si>
  <si>
    <t>Average base salary per annum</t>
  </si>
  <si>
    <t>Commission</t>
  </si>
  <si>
    <t>Sales team - Cost</t>
  </si>
  <si>
    <t>Recruitment cost</t>
  </si>
  <si>
    <t>Management team</t>
  </si>
  <si>
    <t>Managers</t>
  </si>
  <si>
    <t>Average manager salary</t>
  </si>
  <si>
    <t>Admin team - cost</t>
  </si>
  <si>
    <t>Admin staff</t>
  </si>
  <si>
    <t>Admin salary</t>
  </si>
  <si>
    <t>Admin staff costs</t>
  </si>
  <si>
    <t>Total headcount</t>
  </si>
  <si>
    <t>Team members per manager</t>
  </si>
  <si>
    <t>Manager cost</t>
  </si>
  <si>
    <t>Product team</t>
  </si>
  <si>
    <t>Product team members</t>
  </si>
  <si>
    <t>Average product salary</t>
  </si>
  <si>
    <t>Product team cost</t>
  </si>
  <si>
    <t>Summary</t>
  </si>
  <si>
    <t>Headcount</t>
  </si>
  <si>
    <t>Admin</t>
  </si>
  <si>
    <t>Product</t>
  </si>
  <si>
    <t>Recruitment</t>
  </si>
  <si>
    <t>Total wages cost</t>
  </si>
  <si>
    <t>Total recruitment cost</t>
  </si>
  <si>
    <t>Pension to salary cost</t>
  </si>
  <si>
    <t>Salary costs embedded in admin</t>
  </si>
  <si>
    <t>Recruitment costs</t>
  </si>
  <si>
    <t>Employers NIC</t>
  </si>
  <si>
    <t>Admin costs excluding staff costs</t>
  </si>
  <si>
    <t>Staff cost</t>
  </si>
  <si>
    <t>% Variable costs</t>
  </si>
  <si>
    <t>Variable costs</t>
  </si>
  <si>
    <t>Fixed costs</t>
  </si>
  <si>
    <t>Ratio admin variable costs to staff costs</t>
  </si>
  <si>
    <t>P&amp;L</t>
  </si>
  <si>
    <t>Quarterly</t>
  </si>
  <si>
    <t>Highlights</t>
  </si>
  <si>
    <t>Gross revenue</t>
  </si>
  <si>
    <t>Profit before tax</t>
  </si>
  <si>
    <t>GPM</t>
  </si>
  <si>
    <t>Key inputs</t>
  </si>
  <si>
    <t xml:space="preserve">  1=Yes, 0=No</t>
  </si>
  <si>
    <t>Marketing expense</t>
  </si>
  <si>
    <t>Other operating expenses</t>
  </si>
  <si>
    <t>Number employees</t>
  </si>
  <si>
    <t>Ref</t>
  </si>
  <si>
    <t>Rev / emee</t>
  </si>
  <si>
    <t>PBT / emee</t>
  </si>
  <si>
    <t>PBT margin</t>
  </si>
  <si>
    <t>Average salary</t>
  </si>
  <si>
    <t>Gross proft / emee</t>
  </si>
  <si>
    <t>B2B sales team</t>
  </si>
  <si>
    <t>Sales team members</t>
  </si>
  <si>
    <t>Clients won per month per team member</t>
  </si>
  <si>
    <t>Clients won</t>
  </si>
  <si>
    <t>Avg value services ordered</t>
  </si>
  <si>
    <t>Avg cost services ordered</t>
  </si>
  <si>
    <t>Clients retained</t>
  </si>
  <si>
    <t>Service orders per month per client</t>
  </si>
  <si>
    <t>Service orders</t>
  </si>
  <si>
    <t>Value services ordered</t>
  </si>
  <si>
    <t>Cost services ordered</t>
  </si>
  <si>
    <t>Admin staff required to manage</t>
  </si>
  <si>
    <t>Admin staff cost</t>
  </si>
  <si>
    <t>Staff tax</t>
  </si>
  <si>
    <t>Sales team cost</t>
  </si>
  <si>
    <t>Profitability check</t>
  </si>
  <si>
    <t>Admin staff required</t>
  </si>
  <si>
    <t>Sales team required</t>
  </si>
  <si>
    <t>Instructions won</t>
  </si>
  <si>
    <t>Total profit on services function</t>
  </si>
  <si>
    <t>Average admin salary</t>
  </si>
  <si>
    <t>Active % direct</t>
  </si>
  <si>
    <t>Employee metrics</t>
  </si>
  <si>
    <t>Market share</t>
  </si>
  <si>
    <t>Sales people hired into probate sales team</t>
  </si>
  <si>
    <t>Extra services</t>
  </si>
  <si>
    <t>Staff costs</t>
  </si>
  <si>
    <t>Launches</t>
  </si>
  <si>
    <t>Attach rate</t>
  </si>
  <si>
    <t>---from services</t>
  </si>
  <si>
    <t>Total gross revenue</t>
  </si>
  <si>
    <t>Attach rate of services</t>
  </si>
  <si>
    <t>High base</t>
  </si>
  <si>
    <t>Low base</t>
  </si>
  <si>
    <t>Active base</t>
  </si>
  <si>
    <t>Example financial model</t>
  </si>
  <si>
    <t>DATE</t>
  </si>
  <si>
    <t>Customer type 2 platform built (in 3Q24)</t>
  </si>
  <si>
    <t>Customer type 1 platform built (in 2Q23)</t>
  </si>
  <si>
    <t>Cross sell services (from 1Q24)</t>
  </si>
  <si>
    <t>Volume business</t>
  </si>
  <si>
    <t>---from Customer type 1</t>
  </si>
  <si>
    <t>---from Customer type 2</t>
  </si>
  <si>
    <t>Total volume</t>
  </si>
  <si>
    <t>Completed transactions</t>
  </si>
  <si>
    <t>% sales made without intemediary</t>
  </si>
  <si>
    <t>---from sales</t>
  </si>
  <si>
    <t>Customer type 1 market</t>
  </si>
  <si>
    <t>Customer type 2 market</t>
  </si>
  <si>
    <t>Direct cost 1</t>
  </si>
  <si>
    <t>Direct cost 2</t>
  </si>
  <si>
    <t>Direct cost 3</t>
  </si>
  <si>
    <t>Direct cost 4</t>
  </si>
  <si>
    <t>Capital Account</t>
  </si>
  <si>
    <t>Bank Account</t>
  </si>
  <si>
    <t>Suppliers of direct costs 1-4</t>
  </si>
  <si>
    <t>Total completed transactions</t>
  </si>
  <si>
    <t>1. Net revenue from sales</t>
  </si>
  <si>
    <t>Total Net revenue from sales</t>
  </si>
  <si>
    <t>Business volume</t>
  </si>
  <si>
    <t>Total business volume</t>
  </si>
  <si>
    <t>Customer type 1 clients (deposit paying)</t>
  </si>
  <si>
    <t>Average transaction size</t>
  </si>
  <si>
    <t>Average value completed transaction</t>
  </si>
  <si>
    <t>Avg intermediary fee per sale</t>
  </si>
  <si>
    <t>Average net revenue per completed transaction</t>
  </si>
  <si>
    <t>Average sales margin</t>
  </si>
  <si>
    <t>Net revenue from sales</t>
  </si>
  <si>
    <t>Net revenue from sales and deposits</t>
  </si>
  <si>
    <t>% instructions paying for service type 1</t>
  </si>
  <si>
    <t>Service type 1 cost</t>
  </si>
  <si>
    <t>Service type 1 revenue</t>
  </si>
  <si>
    <t>Service type 2 revenue</t>
  </si>
  <si>
    <t>Service type 3 revenue</t>
  </si>
  <si>
    <t>Service type 1 unit cost</t>
  </si>
  <si>
    <t>Avg service type 1 cost per transacation</t>
  </si>
  <si>
    <t>Cost of service type 2</t>
  </si>
  <si>
    <t>Service type 3 cost</t>
  </si>
  <si>
    <t>Service type 3 unit cost</t>
  </si>
  <si>
    <t>Volume service type 3</t>
  </si>
  <si>
    <t>Volume business by time - Customer type 1</t>
  </si>
  <si>
    <t>Volume business by time - Customer type 2</t>
  </si>
  <si>
    <t>Customer type 1</t>
  </si>
  <si>
    <t>Customer type 1 Leads</t>
  </si>
  <si>
    <t>Customer type 1 Clients</t>
  </si>
  <si>
    <t>Volume business per Customer type 1</t>
  </si>
  <si>
    <t>Volume business from Customer type 1</t>
  </si>
  <si>
    <t>Customer type 1 platform</t>
  </si>
  <si>
    <t>Customer type 2</t>
  </si>
  <si>
    <t>Customer type 2 platform</t>
  </si>
  <si>
    <t>Services to sales ratio</t>
  </si>
  <si>
    <t>Services per quarter to admin staff ratio</t>
  </si>
  <si>
    <t>Volume competed transactions</t>
  </si>
  <si>
    <t>Team 1</t>
  </si>
  <si>
    <t>Team 1 - KPIs</t>
  </si>
  <si>
    <t>Volume bsuiness per employee type 1 per quarter</t>
  </si>
  <si>
    <t>Sales per employee type 2 per quarter</t>
  </si>
  <si>
    <t># Type 1 Employees</t>
  </si>
  <si>
    <t># Type 2 Employees</t>
  </si>
  <si>
    <t>Team 1 - Cost</t>
  </si>
  <si>
    <t>Type 1 employees</t>
  </si>
  <si>
    <t>Type 2 employees</t>
  </si>
  <si>
    <t>Team 1 headcount</t>
  </si>
  <si>
    <t>Admin to team 1 staff ratio</t>
  </si>
  <si>
    <t>Headcount of admin and team 1</t>
  </si>
  <si>
    <t>Team 2</t>
  </si>
  <si>
    <t>Team 2 admin team cost</t>
  </si>
  <si>
    <t>Team 2 admin team members</t>
  </si>
  <si>
    <t>Team 2 sales team</t>
  </si>
  <si>
    <t>Average team 2 sales total comp</t>
  </si>
  <si>
    <t>Team 2 sales team cost</t>
  </si>
  <si>
    <t>Team 1 Type 1 employees</t>
  </si>
  <si>
    <t>Team 1 Type 2 employees</t>
  </si>
  <si>
    <t>Team 2 admin</t>
  </si>
  <si>
    <t>Team 2 sales</t>
  </si>
  <si>
    <t>Services 1</t>
  </si>
  <si>
    <t>Service 1 on/off</t>
  </si>
  <si>
    <t>Referral fee per client</t>
  </si>
  <si>
    <t>Service 2</t>
  </si>
  <si>
    <t>Service 2 on/off</t>
  </si>
  <si>
    <t>Service 1 revenue</t>
  </si>
  <si>
    <t>Service 2 revenue</t>
  </si>
  <si>
    <t>Service 3</t>
  </si>
  <si>
    <t>Service 3 on/off</t>
  </si>
  <si>
    <t>Service 3 revenue</t>
  </si>
  <si>
    <t>Total revenue from services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</si>
</sst>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£&quot;#,##0;\-&quot;£&quot;#,##0"/>
    <numFmt numFmtId="43" formatCode="_-* #,##0.00_-;\-* #,##0.00_-;_-* &quot;-&quot;??_-;_-@_-"/>
    <numFmt numFmtId="164" formatCode="#,##0;\(#,##0\)"/>
    <numFmt numFmtId="165" formatCode="#,##0_);\(#,##0\)"/>
    <numFmt numFmtId="166" formatCode="#,##0.0_);\(#,##0.0\)"/>
    <numFmt numFmtId="167" formatCode="0.0%"/>
    <numFmt numFmtId="168" formatCode="_-* #,##0_-;\-* #,##0_-;_-* &quot;-&quot;??_-;_-@_-"/>
    <numFmt numFmtId="169" formatCode="&quot;£&quot;#,##0"/>
  </numFmts>
  <fonts count="21" x14ac:knownFonts="1">
    <font>
      <sz val="11"/>
      <color theme="1"/>
      <name val="Arial"/>
    </font>
    <font>
      <b/>
      <sz val="20"/>
      <color theme="1"/>
      <name val="Arial"/>
    </font>
    <font>
      <sz val="14"/>
      <color theme="1"/>
      <name val="Arial"/>
    </font>
    <font>
      <b/>
      <sz val="8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sz val="11"/>
      <color theme="1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rgb="FF00B050"/>
      <name val="Arial"/>
      <family val="2"/>
    </font>
    <font>
      <sz val="8"/>
      <color rgb="FF0070C0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b/>
      <sz val="8"/>
      <color rgb="FF00B050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i/>
      <sz val="6"/>
      <name val="Arial"/>
      <family val="2"/>
    </font>
    <font>
      <b/>
      <u/>
      <sz val="8"/>
      <name val="Arial"/>
      <family val="2"/>
    </font>
    <font>
      <sz val="11"/>
      <color theme="1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EBEBEB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7" fillId="0" borderId="0" xfId="0" applyFont="1"/>
    <xf numFmtId="165" fontId="7" fillId="0" borderId="0" xfId="0" applyNumberFormat="1" applyFont="1"/>
    <xf numFmtId="0" fontId="8" fillId="0" borderId="0" xfId="0" applyFont="1"/>
    <xf numFmtId="165" fontId="9" fillId="0" borderId="0" xfId="0" applyNumberFormat="1" applyFont="1"/>
    <xf numFmtId="165" fontId="10" fillId="0" borderId="0" xfId="0" applyNumberFormat="1" applyFont="1"/>
    <xf numFmtId="9" fontId="10" fillId="0" borderId="0" xfId="1" applyFont="1"/>
    <xf numFmtId="9" fontId="7" fillId="0" borderId="0" xfId="1" applyFont="1"/>
    <xf numFmtId="0" fontId="7" fillId="3" borderId="0" xfId="0" applyFont="1" applyFill="1"/>
    <xf numFmtId="165" fontId="9" fillId="3" borderId="0" xfId="0" applyNumberFormat="1" applyFont="1" applyFill="1"/>
    <xf numFmtId="9" fontId="7" fillId="3" borderId="0" xfId="1" applyFont="1" applyFill="1"/>
    <xf numFmtId="165" fontId="7" fillId="3" borderId="0" xfId="0" applyNumberFormat="1" applyFont="1" applyFill="1"/>
    <xf numFmtId="165" fontId="10" fillId="3" borderId="0" xfId="0" applyNumberFormat="1" applyFont="1" applyFill="1"/>
    <xf numFmtId="9" fontId="10" fillId="3" borderId="0" xfId="1" applyFont="1" applyFill="1"/>
    <xf numFmtId="166" fontId="7" fillId="3" borderId="0" xfId="0" applyNumberFormat="1" applyFont="1" applyFill="1"/>
    <xf numFmtId="165" fontId="7" fillId="0" borderId="0" xfId="0" quotePrefix="1" applyNumberFormat="1" applyFont="1"/>
    <xf numFmtId="166" fontId="10" fillId="0" borderId="0" xfId="0" applyNumberFormat="1" applyFont="1"/>
    <xf numFmtId="166" fontId="7" fillId="0" borderId="0" xfId="0" applyNumberFormat="1" applyFont="1"/>
    <xf numFmtId="167" fontId="7" fillId="3" borderId="0" xfId="1" applyNumberFormat="1" applyFont="1" applyFill="1"/>
    <xf numFmtId="165" fontId="8" fillId="0" borderId="0" xfId="0" applyNumberFormat="1" applyFont="1"/>
    <xf numFmtId="167" fontId="7" fillId="0" borderId="0" xfId="1" applyNumberFormat="1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8" fillId="3" borderId="0" xfId="0" applyNumberFormat="1" applyFont="1" applyFill="1"/>
    <xf numFmtId="165" fontId="8" fillId="0" borderId="4" xfId="0" applyNumberFormat="1" applyFont="1" applyBorder="1"/>
    <xf numFmtId="165" fontId="8" fillId="3" borderId="4" xfId="0" applyNumberFormat="1" applyFont="1" applyFill="1" applyBorder="1"/>
    <xf numFmtId="165" fontId="11" fillId="0" borderId="0" xfId="0" applyNumberFormat="1" applyFont="1"/>
    <xf numFmtId="0" fontId="12" fillId="0" borderId="1" xfId="0" applyFont="1" applyBorder="1" applyAlignment="1">
      <alignment horizontal="right" vertical="center"/>
    </xf>
    <xf numFmtId="0" fontId="12" fillId="0" borderId="0" xfId="0" applyFont="1"/>
    <xf numFmtId="164" fontId="9" fillId="0" borderId="0" xfId="0" applyNumberFormat="1" applyFont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164" fontId="0" fillId="0" borderId="0" xfId="0" applyNumberFormat="1"/>
    <xf numFmtId="164" fontId="5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9" fontId="7" fillId="0" borderId="0" xfId="1" applyFont="1" applyBorder="1"/>
    <xf numFmtId="165" fontId="7" fillId="0" borderId="4" xfId="0" applyNumberFormat="1" applyFont="1" applyBorder="1"/>
    <xf numFmtId="165" fontId="7" fillId="3" borderId="4" xfId="0" applyNumberFormat="1" applyFont="1" applyFill="1" applyBorder="1"/>
    <xf numFmtId="165" fontId="7" fillId="0" borderId="4" xfId="0" quotePrefix="1" applyNumberFormat="1" applyFont="1" applyBorder="1"/>
    <xf numFmtId="9" fontId="7" fillId="3" borderId="0" xfId="1" applyFont="1" applyFill="1" applyBorder="1"/>
    <xf numFmtId="0" fontId="11" fillId="0" borderId="0" xfId="0" quotePrefix="1" applyFont="1"/>
    <xf numFmtId="0" fontId="8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9" fontId="10" fillId="3" borderId="8" xfId="1" applyFont="1" applyFill="1" applyBorder="1" applyAlignment="1">
      <alignment horizontal="center"/>
    </xf>
    <xf numFmtId="168" fontId="7" fillId="3" borderId="0" xfId="2" applyNumberFormat="1" applyFont="1" applyFill="1"/>
    <xf numFmtId="165" fontId="17" fillId="0" borderId="0" xfId="0" applyNumberFormat="1" applyFont="1"/>
    <xf numFmtId="168" fontId="17" fillId="3" borderId="0" xfId="2" applyNumberFormat="1" applyFont="1" applyFill="1"/>
    <xf numFmtId="165" fontId="10" fillId="3" borderId="4" xfId="0" applyNumberFormat="1" applyFont="1" applyFill="1" applyBorder="1"/>
    <xf numFmtId="168" fontId="7" fillId="0" borderId="0" xfId="2" applyNumberFormat="1" applyFont="1"/>
    <xf numFmtId="165" fontId="17" fillId="0" borderId="0" xfId="0" quotePrefix="1" applyNumberFormat="1" applyFont="1"/>
    <xf numFmtId="9" fontId="17" fillId="3" borderId="0" xfId="1" applyFont="1" applyFill="1" applyBorder="1"/>
    <xf numFmtId="9" fontId="17" fillId="0" borderId="0" xfId="1" applyFont="1" applyBorder="1"/>
    <xf numFmtId="5" fontId="11" fillId="3" borderId="0" xfId="2" applyNumberFormat="1" applyFont="1" applyFill="1"/>
    <xf numFmtId="5" fontId="11" fillId="0" borderId="0" xfId="2" applyNumberFormat="1" applyFont="1"/>
    <xf numFmtId="169" fontId="11" fillId="3" borderId="0" xfId="0" applyNumberFormat="1" applyFont="1" applyFill="1"/>
    <xf numFmtId="0" fontId="18" fillId="0" borderId="0" xfId="0" applyFont="1"/>
    <xf numFmtId="9" fontId="9" fillId="0" borderId="0" xfId="1" applyFont="1"/>
    <xf numFmtId="9" fontId="10" fillId="3" borderId="0" xfId="1" applyFont="1" applyFill="1" applyBorder="1" applyAlignment="1">
      <alignment horizontal="center"/>
    </xf>
    <xf numFmtId="165" fontId="20" fillId="0" borderId="0" xfId="0" applyNumberFormat="1" applyFont="1"/>
    <xf numFmtId="0" fontId="10" fillId="3" borderId="8" xfId="0" applyFont="1" applyFill="1" applyBorder="1" applyAlignment="1">
      <alignment horizontal="center"/>
    </xf>
    <xf numFmtId="0" fontId="19" fillId="0" borderId="0" xfId="0" applyFont="1"/>
    <xf numFmtId="17" fontId="0" fillId="0" borderId="0" xfId="0" applyNumberFormat="1"/>
    <xf numFmtId="0" fontId="10" fillId="3" borderId="0" xfId="0" applyFont="1" applyFill="1" applyAlignment="1">
      <alignment horizontal="center"/>
    </xf>
    <xf numFmtId="165" fontId="8" fillId="0" borderId="0" xfId="0" quotePrefix="1" applyNumberFormat="1" applyFont="1"/>
    <xf numFmtId="164" fontId="10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3">
    <cellStyle name="Comma" xfId="2" builtinId="3"/>
    <cellStyle name="Normal" xfId="0" builtinId="0" customBuiltin="1"/>
    <cellStyle name="Percent" xfId="1" builtinId="5"/>
  </cellStyles>
  <dxfs count="0"/>
  <tableStyles count="0" defaultTableStyle="TableStyleMedium2" defaultPivotStyle="PivotStyleLight16"/>
  <colors>
    <mruColors>
      <color rgb="FF1208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79376</xdr:colOff>
      <xdr:row>0</xdr:row>
      <xdr:rowOff>111126</xdr:rowOff>
    </xdr:from>
    <xdr:to>
      <xdr:col>3</xdr:col>
      <xdr:colOff>111126</xdr:colOff>
      <xdr:row>8</xdr:row>
      <xdr:rowOff>15876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F30B2D-B6BE-7350-50EB-A29DB94AA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776" y="111126"/>
          <a:ext cx="1352550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E215B-7287-4B99-9214-A122A981C20C}">
  <sheetPr>
    <tabColor theme="7" tint="0.79998168889431442"/>
  </sheetPr>
  <dimension ref="D12:D14"/>
  <sheetViews>
    <sheetView showGridLines="0" tabSelected="1" workbookViewId="0"/>
  </sheetViews>
  <sheetFormatPr defaultRowHeight="14.25" x14ac:dyDescent="0.65"/>
  <sheetData>
    <row r="12" spans="4:4" x14ac:dyDescent="0.65">
      <c r="D12" s="80" t="s">
        <v>255</v>
      </c>
    </row>
    <row r="14" spans="4:4" x14ac:dyDescent="0.65">
      <c r="D14" s="81" t="s">
        <v>256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04AA6-5CEF-4589-AC1E-DDE94B6E5356}">
  <sheetPr>
    <tabColor theme="9" tint="0.79998168889431442"/>
  </sheetPr>
  <dimension ref="A1:AL41"/>
  <sheetViews>
    <sheetView showGridLines="0" zoomScale="85" zoomScaleNormal="85" workbookViewId="0">
      <pane xSplit="2" ySplit="5" topLeftCell="C6" activePane="bottomRight" state="frozen"/>
      <selection activeCell="A21" sqref="A21:Q21"/>
      <selection pane="topRight" activeCell="A21" sqref="A21:Q21"/>
      <selection pane="bottomLeft" activeCell="A21" sqref="A21:Q21"/>
      <selection pane="bottomRight" activeCell="B1" sqref="B1"/>
    </sheetView>
  </sheetViews>
  <sheetFormatPr defaultRowHeight="14.25" x14ac:dyDescent="0.65"/>
  <cols>
    <col min="1" max="1" width="1" customWidth="1"/>
    <col min="2" max="2" width="34.33203125" customWidth="1"/>
    <col min="3" max="4" width="10.58203125" customWidth="1"/>
    <col min="5" max="5" width="10.33203125" customWidth="1"/>
    <col min="6" max="6" width="10.4140625" customWidth="1"/>
    <col min="7" max="8" width="10.58203125" customWidth="1"/>
    <col min="9" max="9" width="10.33203125" customWidth="1"/>
    <col min="10" max="10" width="10.4140625" customWidth="1"/>
    <col min="11" max="12" width="10.58203125" customWidth="1"/>
    <col min="13" max="13" width="10.33203125" customWidth="1"/>
    <col min="14" max="14" width="10.4140625" customWidth="1"/>
    <col min="15" max="16" width="10.58203125" customWidth="1"/>
    <col min="17" max="17" width="10.33203125" customWidth="1"/>
    <col min="18" max="18" width="10.4140625" customWidth="1"/>
  </cols>
  <sheetData>
    <row r="1" spans="1:38" ht="25.5" customHeight="1" x14ac:dyDescent="0.65">
      <c r="A1" s="47" t="s">
        <v>117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38" ht="18" customHeight="1" x14ac:dyDescent="0.65">
      <c r="A2" s="53" t="s">
        <v>204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38" ht="18" customHeight="1" x14ac:dyDescent="0.65">
      <c r="A3" s="34"/>
      <c r="B3" s="34"/>
      <c r="C3" s="49">
        <v>1</v>
      </c>
      <c r="D3" s="49">
        <f>C3+1</f>
        <v>2</v>
      </c>
      <c r="E3" s="49">
        <f t="shared" ref="E3:AL3" si="0">D3+1</f>
        <v>3</v>
      </c>
      <c r="F3" s="49">
        <f t="shared" si="0"/>
        <v>4</v>
      </c>
      <c r="G3" s="49">
        <f t="shared" si="0"/>
        <v>5</v>
      </c>
      <c r="H3" s="49">
        <f t="shared" si="0"/>
        <v>6</v>
      </c>
      <c r="I3" s="49">
        <f t="shared" si="0"/>
        <v>7</v>
      </c>
      <c r="J3" s="49">
        <f t="shared" si="0"/>
        <v>8</v>
      </c>
      <c r="K3" s="49">
        <f t="shared" si="0"/>
        <v>9</v>
      </c>
      <c r="L3" s="49">
        <f t="shared" si="0"/>
        <v>10</v>
      </c>
      <c r="M3" s="49">
        <f t="shared" si="0"/>
        <v>11</v>
      </c>
      <c r="N3" s="49">
        <f t="shared" si="0"/>
        <v>12</v>
      </c>
      <c r="O3" s="49">
        <f t="shared" si="0"/>
        <v>13</v>
      </c>
      <c r="P3" s="49">
        <f t="shared" si="0"/>
        <v>14</v>
      </c>
      <c r="Q3" s="49">
        <f t="shared" si="0"/>
        <v>15</v>
      </c>
      <c r="R3" s="49">
        <f t="shared" si="0"/>
        <v>16</v>
      </c>
      <c r="S3" s="49">
        <f t="shared" si="0"/>
        <v>17</v>
      </c>
      <c r="T3" s="49">
        <f t="shared" si="0"/>
        <v>18</v>
      </c>
      <c r="U3" s="49">
        <f t="shared" si="0"/>
        <v>19</v>
      </c>
      <c r="V3" s="49">
        <f t="shared" si="0"/>
        <v>20</v>
      </c>
      <c r="W3" s="49">
        <f t="shared" si="0"/>
        <v>21</v>
      </c>
      <c r="X3" s="49">
        <f t="shared" si="0"/>
        <v>22</v>
      </c>
      <c r="Y3" s="49">
        <f t="shared" si="0"/>
        <v>23</v>
      </c>
      <c r="Z3" s="49">
        <f t="shared" si="0"/>
        <v>24</v>
      </c>
      <c r="AA3" s="49">
        <f t="shared" si="0"/>
        <v>25</v>
      </c>
      <c r="AB3" s="49">
        <f t="shared" si="0"/>
        <v>26</v>
      </c>
      <c r="AC3" s="49">
        <f t="shared" si="0"/>
        <v>27</v>
      </c>
      <c r="AD3" s="49">
        <f t="shared" si="0"/>
        <v>28</v>
      </c>
      <c r="AE3" s="49">
        <f t="shared" si="0"/>
        <v>29</v>
      </c>
      <c r="AF3" s="49">
        <f t="shared" si="0"/>
        <v>30</v>
      </c>
      <c r="AG3" s="49">
        <f t="shared" si="0"/>
        <v>31</v>
      </c>
      <c r="AH3" s="49">
        <f t="shared" si="0"/>
        <v>32</v>
      </c>
      <c r="AI3" s="49">
        <f t="shared" si="0"/>
        <v>33</v>
      </c>
      <c r="AJ3" s="49">
        <f t="shared" si="0"/>
        <v>34</v>
      </c>
      <c r="AK3" s="49">
        <f t="shared" si="0"/>
        <v>35</v>
      </c>
      <c r="AL3" s="49">
        <f t="shared" si="0"/>
        <v>36</v>
      </c>
    </row>
    <row r="4" spans="1:38" ht="13.4" customHeight="1" x14ac:dyDescent="0.65">
      <c r="C4" s="40">
        <v>2019</v>
      </c>
      <c r="D4" s="40">
        <v>2019</v>
      </c>
      <c r="E4" s="40">
        <v>2019</v>
      </c>
      <c r="F4" s="40">
        <v>2019</v>
      </c>
      <c r="G4" s="40">
        <f>C4+1</f>
        <v>2020</v>
      </c>
      <c r="H4" s="40">
        <f t="shared" ref="H4:AL4" si="1">D4+1</f>
        <v>2020</v>
      </c>
      <c r="I4" s="40">
        <f t="shared" si="1"/>
        <v>2020</v>
      </c>
      <c r="J4" s="40">
        <f t="shared" si="1"/>
        <v>2020</v>
      </c>
      <c r="K4" s="40">
        <f t="shared" si="1"/>
        <v>2021</v>
      </c>
      <c r="L4" s="40">
        <f t="shared" si="1"/>
        <v>2021</v>
      </c>
      <c r="M4" s="40">
        <f t="shared" si="1"/>
        <v>2021</v>
      </c>
      <c r="N4" s="40">
        <f t="shared" si="1"/>
        <v>2021</v>
      </c>
      <c r="O4" s="40">
        <f t="shared" si="1"/>
        <v>2022</v>
      </c>
      <c r="P4" s="40">
        <f t="shared" si="1"/>
        <v>2022</v>
      </c>
      <c r="Q4" s="40">
        <f t="shared" si="1"/>
        <v>2022</v>
      </c>
      <c r="R4" s="40">
        <f t="shared" si="1"/>
        <v>2022</v>
      </c>
      <c r="S4" s="40">
        <f t="shared" si="1"/>
        <v>2023</v>
      </c>
      <c r="T4" s="40">
        <f t="shared" si="1"/>
        <v>2023</v>
      </c>
      <c r="U4" s="40">
        <f t="shared" si="1"/>
        <v>2023</v>
      </c>
      <c r="V4" s="40">
        <f t="shared" si="1"/>
        <v>2023</v>
      </c>
      <c r="W4" s="40">
        <f t="shared" si="1"/>
        <v>2024</v>
      </c>
      <c r="X4" s="40">
        <f t="shared" si="1"/>
        <v>2024</v>
      </c>
      <c r="Y4" s="40">
        <f t="shared" si="1"/>
        <v>2024</v>
      </c>
      <c r="Z4" s="40">
        <f t="shared" si="1"/>
        <v>2024</v>
      </c>
      <c r="AA4" s="40">
        <f t="shared" si="1"/>
        <v>2025</v>
      </c>
      <c r="AB4" s="40">
        <f t="shared" si="1"/>
        <v>2025</v>
      </c>
      <c r="AC4" s="40">
        <f t="shared" si="1"/>
        <v>2025</v>
      </c>
      <c r="AD4" s="40">
        <f t="shared" si="1"/>
        <v>2025</v>
      </c>
      <c r="AE4" s="40">
        <f t="shared" si="1"/>
        <v>2026</v>
      </c>
      <c r="AF4" s="40">
        <f t="shared" si="1"/>
        <v>2026</v>
      </c>
      <c r="AG4" s="40">
        <f t="shared" si="1"/>
        <v>2026</v>
      </c>
      <c r="AH4" s="40">
        <f t="shared" si="1"/>
        <v>2026</v>
      </c>
      <c r="AI4" s="40">
        <f t="shared" si="1"/>
        <v>2027</v>
      </c>
      <c r="AJ4" s="40">
        <f t="shared" si="1"/>
        <v>2027</v>
      </c>
      <c r="AK4" s="40">
        <f t="shared" si="1"/>
        <v>2027</v>
      </c>
      <c r="AL4" s="40">
        <f t="shared" si="1"/>
        <v>2027</v>
      </c>
    </row>
    <row r="5" spans="1:38" ht="10.5" customHeight="1" x14ac:dyDescent="0.65">
      <c r="A5" s="1"/>
      <c r="B5" s="2" t="s">
        <v>1</v>
      </c>
      <c r="C5" s="3" t="s">
        <v>2</v>
      </c>
      <c r="D5" s="3" t="s">
        <v>3</v>
      </c>
      <c r="E5" s="3" t="s">
        <v>116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4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3">
        <v>1</v>
      </c>
      <c r="T5" s="3">
        <f>S5+1</f>
        <v>2</v>
      </c>
      <c r="U5" s="3">
        <f t="shared" ref="U5:V5" si="2">T5+1</f>
        <v>3</v>
      </c>
      <c r="V5" s="3">
        <f t="shared" si="2"/>
        <v>4</v>
      </c>
      <c r="W5" s="3">
        <f>S5</f>
        <v>1</v>
      </c>
      <c r="X5" s="3">
        <f t="shared" ref="X5:AL5" si="3">T5</f>
        <v>2</v>
      </c>
      <c r="Y5" s="3">
        <f t="shared" si="3"/>
        <v>3</v>
      </c>
      <c r="Z5" s="3">
        <f t="shared" si="3"/>
        <v>4</v>
      </c>
      <c r="AA5" s="3">
        <f t="shared" si="3"/>
        <v>1</v>
      </c>
      <c r="AB5" s="3">
        <f t="shared" si="3"/>
        <v>2</v>
      </c>
      <c r="AC5" s="3">
        <f t="shared" si="3"/>
        <v>3</v>
      </c>
      <c r="AD5" s="3">
        <f t="shared" si="3"/>
        <v>4</v>
      </c>
      <c r="AE5" s="3">
        <f t="shared" si="3"/>
        <v>1</v>
      </c>
      <c r="AF5" s="3">
        <f t="shared" si="3"/>
        <v>2</v>
      </c>
      <c r="AG5" s="3">
        <f t="shared" si="3"/>
        <v>3</v>
      </c>
      <c r="AH5" s="3">
        <f t="shared" si="3"/>
        <v>4</v>
      </c>
      <c r="AI5" s="3">
        <f t="shared" si="3"/>
        <v>1</v>
      </c>
      <c r="AJ5" s="3">
        <f t="shared" si="3"/>
        <v>2</v>
      </c>
      <c r="AK5" s="3">
        <f t="shared" si="3"/>
        <v>3</v>
      </c>
      <c r="AL5" s="3">
        <f t="shared" si="3"/>
        <v>4</v>
      </c>
    </row>
    <row r="6" spans="1:38" ht="13.4" customHeight="1" x14ac:dyDescent="0.65"/>
    <row r="7" spans="1:38" ht="13" customHeight="1" x14ac:dyDescent="0.65">
      <c r="A7" s="87" t="s">
        <v>115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</row>
    <row r="8" spans="1:38" ht="10.5" customHeight="1" x14ac:dyDescent="0.65">
      <c r="A8" s="12"/>
      <c r="B8" s="89" t="s">
        <v>114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</row>
    <row r="9" spans="1:38" ht="10.5" customHeight="1" x14ac:dyDescent="0.65">
      <c r="B9" s="6" t="s">
        <v>18</v>
      </c>
      <c r="C9" s="7">
        <v>0</v>
      </c>
      <c r="D9" s="7">
        <v>11400</v>
      </c>
      <c r="E9" s="7">
        <v>0</v>
      </c>
      <c r="F9" s="7">
        <v>92431.78</v>
      </c>
      <c r="G9" s="7">
        <v>81194.399999999994</v>
      </c>
      <c r="H9" s="7">
        <v>78105</v>
      </c>
      <c r="I9" s="7">
        <v>65321.7</v>
      </c>
      <c r="J9" s="7">
        <v>67320.759999999995</v>
      </c>
      <c r="K9" s="7">
        <v>350247.9</v>
      </c>
      <c r="L9" s="7">
        <v>215569.56</v>
      </c>
      <c r="M9" s="7">
        <v>109534.39999999999</v>
      </c>
      <c r="N9" s="7">
        <v>126548.76</v>
      </c>
      <c r="O9" s="7">
        <v>129838.61</v>
      </c>
      <c r="P9" s="7">
        <v>73609.5</v>
      </c>
      <c r="Q9" s="7">
        <v>226009.8</v>
      </c>
      <c r="R9" s="7">
        <v>188991.06</v>
      </c>
      <c r="S9" s="43">
        <f>Operational!F36</f>
        <v>210415.42168674699</v>
      </c>
      <c r="T9" s="43">
        <f>Operational!G36</f>
        <v>370491.22566371685</v>
      </c>
      <c r="U9" s="43">
        <f>Operational!H36</f>
        <v>294521.17499999999</v>
      </c>
      <c r="V9" s="43">
        <f>Operational!I36</f>
        <v>529345.41</v>
      </c>
      <c r="W9" s="43">
        <f>Operational!J36</f>
        <v>706450.0625</v>
      </c>
      <c r="X9" s="43">
        <f>Operational!K36</f>
        <v>814023.24812500004</v>
      </c>
      <c r="Y9" s="43">
        <f>Operational!L36</f>
        <v>983800.19540624996</v>
      </c>
      <c r="Z9" s="43">
        <f>Operational!M36</f>
        <v>1231000.2442578124</v>
      </c>
      <c r="AA9" s="43">
        <f>Operational!N36</f>
        <v>1537500.3053222657</v>
      </c>
      <c r="AB9" s="43">
        <f>Operational!O36</f>
        <v>1924375.381652832</v>
      </c>
      <c r="AC9" s="43">
        <f>Operational!P36</f>
        <v>5442969.22706604</v>
      </c>
      <c r="AD9" s="43">
        <f>Operational!Q36</f>
        <v>9079961.53383255</v>
      </c>
      <c r="AE9" s="43">
        <f>Operational!R36</f>
        <v>12867451.917290688</v>
      </c>
      <c r="AF9" s="43">
        <f>Operational!S36</f>
        <v>16843064.896613359</v>
      </c>
      <c r="AG9" s="43">
        <f>Operational!T36</f>
        <v>21055081.120766699</v>
      </c>
      <c r="AH9" s="43">
        <f>Operational!U36</f>
        <v>25557601.400958374</v>
      </c>
      <c r="AI9" s="43">
        <f>Operational!V36</f>
        <v>30430751.751197968</v>
      </c>
      <c r="AJ9" s="43">
        <f>Operational!W36</f>
        <v>35755939.688997462</v>
      </c>
      <c r="AK9" s="43">
        <f>Operational!X36</f>
        <v>41656174.611246824</v>
      </c>
      <c r="AL9" s="43">
        <f>Operational!Y36</f>
        <v>48271468.26405853</v>
      </c>
    </row>
    <row r="10" spans="1:38" ht="10.5" customHeight="1" x14ac:dyDescent="0.65">
      <c r="B10" s="6" t="s">
        <v>19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240</v>
      </c>
      <c r="I10" s="7">
        <v>960</v>
      </c>
      <c r="J10" s="7">
        <v>540</v>
      </c>
      <c r="K10" s="7">
        <v>540</v>
      </c>
      <c r="L10" s="7">
        <v>11349</v>
      </c>
      <c r="M10" s="7">
        <v>9903.65</v>
      </c>
      <c r="N10" s="7">
        <v>6810.7</v>
      </c>
      <c r="O10" s="7">
        <v>6841.23</v>
      </c>
      <c r="P10" s="7">
        <v>8442.67</v>
      </c>
      <c r="Q10" s="7">
        <v>7433.32</v>
      </c>
      <c r="R10" s="7">
        <v>8509.9699999999993</v>
      </c>
      <c r="S10" s="43">
        <f>Operational!F59</f>
        <v>5156.25</v>
      </c>
      <c r="T10" s="43">
        <f>Operational!G59</f>
        <v>6906.25</v>
      </c>
      <c r="U10" s="43">
        <f>Operational!H59</f>
        <v>7937.5</v>
      </c>
      <c r="V10" s="43">
        <f>Operational!I59</f>
        <v>9531.25</v>
      </c>
      <c r="W10" s="43">
        <f>Operational!J59</f>
        <v>29456.25</v>
      </c>
      <c r="X10" s="43">
        <f>Operational!K59</f>
        <v>34406.25</v>
      </c>
      <c r="Y10" s="43">
        <f>Operational!L59</f>
        <v>42675</v>
      </c>
      <c r="Z10" s="43">
        <f>Operational!M59</f>
        <v>487633.08823529416</v>
      </c>
      <c r="AA10" s="43">
        <f>Operational!N59</f>
        <v>935047.42647058831</v>
      </c>
      <c r="AB10" s="43">
        <f>Operational!O59</f>
        <v>1386530.5147058824</v>
      </c>
      <c r="AC10" s="43">
        <f>Operational!P59</f>
        <v>1920426.1029411766</v>
      </c>
      <c r="AD10" s="43">
        <f>Operational!Q59</f>
        <v>2459821.6911764708</v>
      </c>
      <c r="AE10" s="43">
        <f>Operational!R59</f>
        <v>3005342.2794117648</v>
      </c>
      <c r="AF10" s="43">
        <f>Operational!S59</f>
        <v>3559594.1176470588</v>
      </c>
      <c r="AG10" s="43">
        <f>Operational!T59</f>
        <v>4123514.7058823532</v>
      </c>
      <c r="AH10" s="43">
        <f>Operational!U59</f>
        <v>4700085.2941176472</v>
      </c>
      <c r="AI10" s="43">
        <f>Operational!V59</f>
        <v>5292724.6323529417</v>
      </c>
      <c r="AJ10" s="43">
        <f>Operational!W59</f>
        <v>5904451.4705882352</v>
      </c>
      <c r="AK10" s="43">
        <f>Operational!X59</f>
        <v>6541290.8088235296</v>
      </c>
      <c r="AL10" s="43">
        <f>Operational!Y59</f>
        <v>7209211.3970588241</v>
      </c>
    </row>
    <row r="11" spans="1:38" ht="10.5" customHeight="1" x14ac:dyDescent="0.65">
      <c r="B11" s="8" t="s">
        <v>113</v>
      </c>
      <c r="C11" s="9">
        <f t="shared" ref="C11:S11" si="4">SUM(C9:C10)</f>
        <v>0</v>
      </c>
      <c r="D11" s="9">
        <f t="shared" si="4"/>
        <v>11400</v>
      </c>
      <c r="E11" s="9">
        <f t="shared" si="4"/>
        <v>0</v>
      </c>
      <c r="F11" s="9">
        <f t="shared" si="4"/>
        <v>92431.78</v>
      </c>
      <c r="G11" s="9">
        <f t="shared" si="4"/>
        <v>81194.399999999994</v>
      </c>
      <c r="H11" s="9">
        <f t="shared" si="4"/>
        <v>78345</v>
      </c>
      <c r="I11" s="9">
        <f t="shared" si="4"/>
        <v>66281.7</v>
      </c>
      <c r="J11" s="9">
        <f t="shared" si="4"/>
        <v>67860.759999999995</v>
      </c>
      <c r="K11" s="9">
        <f t="shared" si="4"/>
        <v>350787.9</v>
      </c>
      <c r="L11" s="9">
        <f t="shared" si="4"/>
        <v>226918.56</v>
      </c>
      <c r="M11" s="9">
        <f t="shared" si="4"/>
        <v>119438.04999999999</v>
      </c>
      <c r="N11" s="9">
        <f t="shared" si="4"/>
        <v>133359.46</v>
      </c>
      <c r="O11" s="9">
        <f t="shared" si="4"/>
        <v>136679.84</v>
      </c>
      <c r="P11" s="9">
        <f t="shared" si="4"/>
        <v>82052.17</v>
      </c>
      <c r="Q11" s="9">
        <f t="shared" si="4"/>
        <v>233443.12</v>
      </c>
      <c r="R11" s="9">
        <f t="shared" si="4"/>
        <v>197501.03</v>
      </c>
      <c r="S11" s="9">
        <f t="shared" si="4"/>
        <v>215571.67168674699</v>
      </c>
      <c r="T11" s="9">
        <f t="shared" ref="T11:AL11" si="5">SUM(T9:T10)</f>
        <v>377397.47566371685</v>
      </c>
      <c r="U11" s="9">
        <f t="shared" si="5"/>
        <v>302458.67499999999</v>
      </c>
      <c r="V11" s="9">
        <f t="shared" si="5"/>
        <v>538876.66</v>
      </c>
      <c r="W11" s="9">
        <f t="shared" si="5"/>
        <v>735906.3125</v>
      </c>
      <c r="X11" s="9">
        <f t="shared" si="5"/>
        <v>848429.49812500004</v>
      </c>
      <c r="Y11" s="9">
        <f t="shared" si="5"/>
        <v>1026475.19540625</v>
      </c>
      <c r="Z11" s="9">
        <f t="shared" si="5"/>
        <v>1718633.3324931066</v>
      </c>
      <c r="AA11" s="9">
        <f t="shared" si="5"/>
        <v>2472547.7317928541</v>
      </c>
      <c r="AB11" s="9">
        <f t="shared" si="5"/>
        <v>3310905.8963587144</v>
      </c>
      <c r="AC11" s="9">
        <f t="shared" si="5"/>
        <v>7363395.3300072169</v>
      </c>
      <c r="AD11" s="9">
        <f t="shared" si="5"/>
        <v>11539783.22500902</v>
      </c>
      <c r="AE11" s="9">
        <f t="shared" si="5"/>
        <v>15872794.196702452</v>
      </c>
      <c r="AF11" s="9">
        <f t="shared" si="5"/>
        <v>20402659.014260419</v>
      </c>
      <c r="AG11" s="9">
        <f t="shared" si="5"/>
        <v>25178595.826649051</v>
      </c>
      <c r="AH11" s="9">
        <f t="shared" si="5"/>
        <v>30257686.695076022</v>
      </c>
      <c r="AI11" s="9">
        <f t="shared" si="5"/>
        <v>35723476.383550912</v>
      </c>
      <c r="AJ11" s="9">
        <f t="shared" si="5"/>
        <v>41660391.159585699</v>
      </c>
      <c r="AK11" s="9">
        <f t="shared" si="5"/>
        <v>48197465.42007035</v>
      </c>
      <c r="AL11" s="9">
        <f t="shared" si="5"/>
        <v>55480679.661117353</v>
      </c>
    </row>
    <row r="12" spans="1:38" ht="10.5" customHeight="1" x14ac:dyDescent="0.65">
      <c r="A12" s="12"/>
      <c r="B12" s="89" t="s">
        <v>112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</row>
    <row r="13" spans="1:38" ht="10.5" customHeight="1" x14ac:dyDescent="0.65">
      <c r="B13" s="6" t="s">
        <v>275</v>
      </c>
      <c r="C13" s="7">
        <v>0</v>
      </c>
      <c r="D13" s="7">
        <v>-12240</v>
      </c>
      <c r="E13" s="7">
        <v>-2602.8000000000002</v>
      </c>
      <c r="F13" s="7">
        <v>-86361.54</v>
      </c>
      <c r="G13" s="7">
        <v>-69573</v>
      </c>
      <c r="H13" s="7">
        <v>-73666</v>
      </c>
      <c r="I13" s="7">
        <v>-59619.6</v>
      </c>
      <c r="J13" s="7">
        <v>-57486.6</v>
      </c>
      <c r="K13" s="7">
        <v>-147050.9</v>
      </c>
      <c r="L13" s="7">
        <v>-315307.2</v>
      </c>
      <c r="M13" s="7">
        <v>-109050.48</v>
      </c>
      <c r="N13" s="7">
        <v>-107754.6</v>
      </c>
      <c r="O13" s="7">
        <v>-97795.14</v>
      </c>
      <c r="P13" s="7">
        <v>-65188.43</v>
      </c>
      <c r="Q13" s="7">
        <v>-152318.47</v>
      </c>
      <c r="R13" s="7">
        <v>-165308.56</v>
      </c>
      <c r="S13" s="43">
        <f>Operational!F70+Operational!F42</f>
        <v>-108191.02409638555</v>
      </c>
      <c r="T13" s="43">
        <f>Operational!G70+Operational!G42</f>
        <v>-205427.12389380531</v>
      </c>
      <c r="U13" s="43">
        <f>Operational!H70+Operational!H42</f>
        <v>-167538.57142857142</v>
      </c>
      <c r="V13" s="43">
        <f>Operational!I70+Operational!I42</f>
        <v>-346375</v>
      </c>
      <c r="W13" s="43">
        <f>Operational!J70+Operational!J42</f>
        <v>-462085</v>
      </c>
      <c r="X13" s="43">
        <f>Operational!K70+Operational!K42</f>
        <v>-535415</v>
      </c>
      <c r="Y13" s="43">
        <f>Operational!L70+Operational!L42</f>
        <v>-572470</v>
      </c>
      <c r="Z13" s="43">
        <f>Operational!M70+Operational!M42</f>
        <v>-1083821.4705882352</v>
      </c>
      <c r="AA13" s="43">
        <f>Operational!N70+Operational!N42</f>
        <v>-1630897.9411764706</v>
      </c>
      <c r="AB13" s="43">
        <f>Operational!O70+Operational!O42</f>
        <v>-2226719.4117647056</v>
      </c>
      <c r="AC13" s="43">
        <f>Operational!P70+Operational!P42</f>
        <v>-4746410.8823529407</v>
      </c>
      <c r="AD13" s="43">
        <f>Operational!Q70+Operational!Q42</f>
        <v>-7467052.3529411759</v>
      </c>
      <c r="AE13" s="43">
        <f>Operational!R70+Operational!R42</f>
        <v>-10265203.823529411</v>
      </c>
      <c r="AF13" s="43">
        <f>Operational!S70+Operational!S42</f>
        <v>-13159070.294117646</v>
      </c>
      <c r="AG13" s="43">
        <f>Operational!T70+Operational!T42</f>
        <v>-16175711.764705881</v>
      </c>
      <c r="AH13" s="43">
        <f>Operational!U70+Operational!U42</f>
        <v>-19334683.235294119</v>
      </c>
      <c r="AI13" s="43">
        <f>Operational!V70+Operational!V42</f>
        <v>-22688659.705882352</v>
      </c>
      <c r="AJ13" s="43">
        <f>Operational!W70+Operational!W42</f>
        <v>-26267496.176470589</v>
      </c>
      <c r="AK13" s="43">
        <f>Operational!X70+Operational!X42</f>
        <v>-30142142.647058822</v>
      </c>
      <c r="AL13" s="43">
        <f>Operational!Y70+Operational!Y42</f>
        <v>-34377704.117647059</v>
      </c>
    </row>
    <row r="14" spans="1:38" ht="10.5" customHeight="1" x14ac:dyDescent="0.65">
      <c r="B14" s="6" t="s">
        <v>111</v>
      </c>
      <c r="C14" s="7">
        <v>0</v>
      </c>
      <c r="D14" s="7">
        <v>-58977.66</v>
      </c>
      <c r="E14" s="7">
        <v>-94669.08</v>
      </c>
      <c r="F14" s="7">
        <v>-97721.37</v>
      </c>
      <c r="G14" s="7">
        <v>-77718.149999999994</v>
      </c>
      <c r="H14" s="7">
        <v>-62413.62</v>
      </c>
      <c r="I14" s="7">
        <v>-131113.79999999999</v>
      </c>
      <c r="J14" s="7">
        <v>-159572.22</v>
      </c>
      <c r="K14" s="7">
        <v>-159154.51999999999</v>
      </c>
      <c r="L14" s="7">
        <v>-162704.81</v>
      </c>
      <c r="M14" s="7">
        <v>-190394.74</v>
      </c>
      <c r="N14" s="7">
        <v>-230728.79</v>
      </c>
      <c r="O14" s="7">
        <v>-200575.23</v>
      </c>
      <c r="P14" s="7">
        <v>-231328.04</v>
      </c>
      <c r="Q14" s="7">
        <v>-232762.37</v>
      </c>
      <c r="R14" s="7">
        <v>-220544.34</v>
      </c>
      <c r="S14" s="43">
        <f>Operational!F77+Operational!F78</f>
        <v>-228635.06602409639</v>
      </c>
      <c r="T14" s="43">
        <f>Operational!G77+Operational!G78</f>
        <v>-205397.59787610621</v>
      </c>
      <c r="U14" s="43">
        <f>Operational!H77+Operational!H78</f>
        <v>-202332.71428571429</v>
      </c>
      <c r="V14" s="43">
        <f>Operational!I77+Operational!I78</f>
        <v>-235776</v>
      </c>
      <c r="W14" s="43">
        <f>Operational!J77+Operational!J78</f>
        <v>-255204</v>
      </c>
      <c r="X14" s="43">
        <f>Operational!K77+Operational!K78</f>
        <v>-298668</v>
      </c>
      <c r="Y14" s="43">
        <f>Operational!L77+Operational!L78</f>
        <v>-328032</v>
      </c>
      <c r="Z14" s="43">
        <f>Operational!M77+Operational!M78</f>
        <v>-591720</v>
      </c>
      <c r="AA14" s="43">
        <f>Operational!N77+Operational!N78</f>
        <v>-803220</v>
      </c>
      <c r="AB14" s="43">
        <f>Operational!O77+Operational!O78</f>
        <v>-1052184</v>
      </c>
      <c r="AC14" s="43">
        <f>Operational!P77+Operational!P78</f>
        <v>-1651896</v>
      </c>
      <c r="AD14" s="43">
        <f>Operational!Q77+Operational!Q78</f>
        <v>-2249724</v>
      </c>
      <c r="AE14" s="43">
        <f>Operational!R77+Operational!R78</f>
        <v>-2878920</v>
      </c>
      <c r="AF14" s="43">
        <f>Operational!S77+Operational!S78</f>
        <v>-3582720</v>
      </c>
      <c r="AG14" s="43">
        <f>Operational!T77+Operational!T78</f>
        <v>-4329648</v>
      </c>
      <c r="AH14" s="43">
        <f>Operational!U77+Operational!U78</f>
        <v>-5148600</v>
      </c>
      <c r="AI14" s="43">
        <f>Operational!V77+Operational!V78</f>
        <v>-6103464</v>
      </c>
      <c r="AJ14" s="43">
        <f>Operational!W77+Operational!W78</f>
        <v>-7171584</v>
      </c>
      <c r="AK14" s="43">
        <f>Operational!X77+Operational!X78</f>
        <v>-8388804</v>
      </c>
      <c r="AL14" s="43">
        <f>Operational!Y77+Operational!Y78</f>
        <v>-9818280</v>
      </c>
    </row>
    <row r="15" spans="1:38" ht="10.5" customHeight="1" x14ac:dyDescent="0.65">
      <c r="B15" s="6" t="s">
        <v>110</v>
      </c>
      <c r="C15" s="7">
        <v>0</v>
      </c>
      <c r="D15" s="7">
        <v>-32919.410000000003</v>
      </c>
      <c r="E15" s="7">
        <v>-25583.18</v>
      </c>
      <c r="F15" s="7">
        <v>-22663.98</v>
      </c>
      <c r="G15" s="7">
        <v>-24164.49</v>
      </c>
      <c r="H15" s="7">
        <v>-47502.13</v>
      </c>
      <c r="I15" s="7">
        <v>-8253.82</v>
      </c>
      <c r="J15" s="7">
        <v>-33650.379999999997</v>
      </c>
      <c r="K15" s="7">
        <v>44398.12</v>
      </c>
      <c r="L15" s="7">
        <v>-52106.47</v>
      </c>
      <c r="M15" s="7">
        <v>-79557.7</v>
      </c>
      <c r="N15" s="7">
        <v>-51858.67</v>
      </c>
      <c r="O15" s="7">
        <v>91914.07</v>
      </c>
      <c r="P15" s="7">
        <v>-66771.31</v>
      </c>
      <c r="Q15" s="7">
        <v>-70902.39</v>
      </c>
      <c r="R15" s="7">
        <v>-72317.78</v>
      </c>
      <c r="S15" s="43">
        <f>Operational!F76+Operational!F79+Operational!F80</f>
        <v>-116273.96252558901</v>
      </c>
      <c r="T15" s="43">
        <f>Operational!G76+Operational!G79+Operational!G80</f>
        <v>-92810.339992173744</v>
      </c>
      <c r="U15" s="43">
        <f>Operational!H76+Operational!H79+Operational!H80</f>
        <v>-102934.22477387148</v>
      </c>
      <c r="V15" s="43">
        <f>Operational!I76+Operational!I79+Operational!I80</f>
        <v>-131278.5049922482</v>
      </c>
      <c r="W15" s="43">
        <f>Operational!J76+Operational!J79+Operational!J80</f>
        <v>-130195.84296944363</v>
      </c>
      <c r="X15" s="43">
        <f>Operational!K76+Operational!K79+Operational!K80</f>
        <v>-167046.97894135761</v>
      </c>
      <c r="Y15" s="43">
        <f>Operational!L76+Operational!L79+Operational!L80</f>
        <v>-167541.86093094747</v>
      </c>
      <c r="Z15" s="43">
        <f>Operational!M76+Operational!M79+Operational!M80</f>
        <v>-384576.88963547494</v>
      </c>
      <c r="AA15" s="43">
        <f>Operational!N76+Operational!N79+Operational!N80</f>
        <v>-438498.56185746688</v>
      </c>
      <c r="AB15" s="43">
        <f>Operational!O76+Operational!O79+Operational!O80</f>
        <v>-547147.16599440982</v>
      </c>
      <c r="AC15" s="43">
        <f>Operational!P76+Operational!P79+Operational!P80</f>
        <v>-845517.74040281808</v>
      </c>
      <c r="AD15" s="43">
        <f>Operational!Q76+Operational!Q79+Operational!Q80</f>
        <v>-1050032.7239014823</v>
      </c>
      <c r="AE15" s="43">
        <f>Operational!R76+Operational!R79+Operational!R80</f>
        <v>-1276834.3161461842</v>
      </c>
      <c r="AF15" s="43">
        <f>Operational!S76+Operational!S79+Operational!S80</f>
        <v>-1557956.0831295294</v>
      </c>
      <c r="AG15" s="43">
        <f>Operational!T76+Operational!T79+Operational!T80</f>
        <v>-1841696.2398096707</v>
      </c>
      <c r="AH15" s="43">
        <f>Operational!U76+Operational!U79+Operational!U80</f>
        <v>-2174127.3349550036</v>
      </c>
      <c r="AI15" s="43">
        <f>Operational!V76+Operational!V79+Operational!V80</f>
        <v>-2598447.0255732699</v>
      </c>
      <c r="AJ15" s="43">
        <f>Operational!W76+Operational!W79+Operational!W80</f>
        <v>-3058531.3079529302</v>
      </c>
      <c r="AK15" s="43">
        <f>Operational!X76+Operational!X79+Operational!X80</f>
        <v>-3605074.8313200031</v>
      </c>
      <c r="AL15" s="43">
        <f>Operational!Y76+Operational!Y79+Operational!Y80</f>
        <v>-4277167.6937968163</v>
      </c>
    </row>
    <row r="16" spans="1:38" ht="10.5" customHeight="1" x14ac:dyDescent="0.65">
      <c r="B16" s="8" t="s">
        <v>109</v>
      </c>
      <c r="C16" s="9">
        <f t="shared" ref="C16:S16" si="6">SUM(C13:C15)</f>
        <v>0</v>
      </c>
      <c r="D16" s="9">
        <f t="shared" si="6"/>
        <v>-104137.07</v>
      </c>
      <c r="E16" s="9">
        <f t="shared" si="6"/>
        <v>-122855.06</v>
      </c>
      <c r="F16" s="9">
        <f t="shared" si="6"/>
        <v>-206746.88999999998</v>
      </c>
      <c r="G16" s="9">
        <f t="shared" si="6"/>
        <v>-171455.63999999998</v>
      </c>
      <c r="H16" s="9">
        <f t="shared" si="6"/>
        <v>-183581.75</v>
      </c>
      <c r="I16" s="9">
        <f t="shared" si="6"/>
        <v>-198987.22</v>
      </c>
      <c r="J16" s="9">
        <f t="shared" si="6"/>
        <v>-250709.2</v>
      </c>
      <c r="K16" s="9">
        <f t="shared" si="6"/>
        <v>-261807.3</v>
      </c>
      <c r="L16" s="9">
        <f t="shared" si="6"/>
        <v>-530118.48</v>
      </c>
      <c r="M16" s="9">
        <f t="shared" si="6"/>
        <v>-379002.92</v>
      </c>
      <c r="N16" s="9">
        <f t="shared" si="6"/>
        <v>-390342.06</v>
      </c>
      <c r="O16" s="9">
        <f t="shared" si="6"/>
        <v>-206456.3</v>
      </c>
      <c r="P16" s="9">
        <f t="shared" si="6"/>
        <v>-363287.78</v>
      </c>
      <c r="Q16" s="9">
        <f t="shared" si="6"/>
        <v>-455983.23</v>
      </c>
      <c r="R16" s="9">
        <f t="shared" si="6"/>
        <v>-458170.68000000005</v>
      </c>
      <c r="S16" s="9">
        <f t="shared" si="6"/>
        <v>-453100.05264607095</v>
      </c>
      <c r="T16" s="9">
        <f t="shared" ref="T16:AL16" si="7">SUM(T13:T15)</f>
        <v>-503635.0617620853</v>
      </c>
      <c r="U16" s="9">
        <f t="shared" si="7"/>
        <v>-472805.51048815716</v>
      </c>
      <c r="V16" s="9">
        <f t="shared" si="7"/>
        <v>-713429.50499224826</v>
      </c>
      <c r="W16" s="9">
        <f t="shared" si="7"/>
        <v>-847484.84296944365</v>
      </c>
      <c r="X16" s="9">
        <f t="shared" si="7"/>
        <v>-1001129.9789413576</v>
      </c>
      <c r="Y16" s="9">
        <f t="shared" si="7"/>
        <v>-1068043.8609309476</v>
      </c>
      <c r="Z16" s="9">
        <f t="shared" si="7"/>
        <v>-2060118.3602237101</v>
      </c>
      <c r="AA16" s="9">
        <f t="shared" si="7"/>
        <v>-2872616.5030339374</v>
      </c>
      <c r="AB16" s="9">
        <f t="shared" si="7"/>
        <v>-3826050.5777591155</v>
      </c>
      <c r="AC16" s="9">
        <f t="shared" si="7"/>
        <v>-7243824.6227557585</v>
      </c>
      <c r="AD16" s="9">
        <f t="shared" si="7"/>
        <v>-10766809.076842658</v>
      </c>
      <c r="AE16" s="9">
        <f t="shared" si="7"/>
        <v>-14420958.139675595</v>
      </c>
      <c r="AF16" s="9">
        <f t="shared" si="7"/>
        <v>-18299746.377247177</v>
      </c>
      <c r="AG16" s="9">
        <f t="shared" si="7"/>
        <v>-22347056.004515551</v>
      </c>
      <c r="AH16" s="9">
        <f t="shared" si="7"/>
        <v>-26657410.570249122</v>
      </c>
      <c r="AI16" s="9">
        <f t="shared" si="7"/>
        <v>-31390570.73145562</v>
      </c>
      <c r="AJ16" s="9">
        <f t="shared" si="7"/>
        <v>-36497611.484423518</v>
      </c>
      <c r="AK16" s="9">
        <f t="shared" si="7"/>
        <v>-42136021.478378825</v>
      </c>
      <c r="AL16" s="9">
        <f t="shared" si="7"/>
        <v>-48473151.811443873</v>
      </c>
    </row>
    <row r="17" spans="1:38" ht="10.5" customHeight="1" x14ac:dyDescent="0.65">
      <c r="B17" s="6" t="s">
        <v>108</v>
      </c>
      <c r="C17" s="7">
        <v>5916.95</v>
      </c>
      <c r="D17" s="7">
        <v>-16845</v>
      </c>
      <c r="E17" s="7">
        <v>-15000</v>
      </c>
      <c r="F17" s="7">
        <v>-14000</v>
      </c>
      <c r="G17" s="7">
        <v>-15000</v>
      </c>
      <c r="H17" s="7">
        <v>-10500</v>
      </c>
      <c r="I17" s="7">
        <v>-400</v>
      </c>
      <c r="J17" s="7">
        <v>-2100</v>
      </c>
      <c r="K17" s="7">
        <v>0</v>
      </c>
      <c r="L17" s="7">
        <v>0</v>
      </c>
      <c r="M17" s="7">
        <v>994.25</v>
      </c>
      <c r="N17" s="7">
        <v>-1000</v>
      </c>
      <c r="O17" s="7">
        <v>-1000</v>
      </c>
      <c r="P17" s="7">
        <v>0</v>
      </c>
      <c r="Q17" s="7">
        <v>4505.75</v>
      </c>
      <c r="R17" s="7">
        <v>10386.780000000001</v>
      </c>
    </row>
    <row r="18" spans="1:38" ht="10.5" customHeight="1" x14ac:dyDescent="0.65">
      <c r="A18" s="8" t="s">
        <v>107</v>
      </c>
      <c r="C18" s="9">
        <f t="shared" ref="C18:AL18" si="8">(C17 + (C11 + C16))</f>
        <v>5916.95</v>
      </c>
      <c r="D18" s="9">
        <f t="shared" si="8"/>
        <v>-109582.07</v>
      </c>
      <c r="E18" s="9">
        <f t="shared" si="8"/>
        <v>-137855.06</v>
      </c>
      <c r="F18" s="9">
        <f t="shared" si="8"/>
        <v>-128315.10999999999</v>
      </c>
      <c r="G18" s="9">
        <f t="shared" si="8"/>
        <v>-105261.23999999999</v>
      </c>
      <c r="H18" s="9">
        <f t="shared" si="8"/>
        <v>-115736.75</v>
      </c>
      <c r="I18" s="9">
        <f t="shared" si="8"/>
        <v>-133105.52000000002</v>
      </c>
      <c r="J18" s="9">
        <f t="shared" si="8"/>
        <v>-184948.44</v>
      </c>
      <c r="K18" s="9">
        <f t="shared" si="8"/>
        <v>88980.600000000035</v>
      </c>
      <c r="L18" s="9">
        <f t="shared" si="8"/>
        <v>-303199.92</v>
      </c>
      <c r="M18" s="9">
        <f t="shared" si="8"/>
        <v>-258570.62</v>
      </c>
      <c r="N18" s="9">
        <f t="shared" si="8"/>
        <v>-257982.6</v>
      </c>
      <c r="O18" s="9">
        <f t="shared" si="8"/>
        <v>-70776.459999999992</v>
      </c>
      <c r="P18" s="9">
        <f t="shared" si="8"/>
        <v>-281235.61000000004</v>
      </c>
      <c r="Q18" s="9">
        <f t="shared" si="8"/>
        <v>-218034.36</v>
      </c>
      <c r="R18" s="9">
        <f t="shared" si="8"/>
        <v>-250282.87000000005</v>
      </c>
      <c r="S18" s="9">
        <f t="shared" si="8"/>
        <v>-237528.38095932396</v>
      </c>
      <c r="T18" s="9">
        <f t="shared" si="8"/>
        <v>-126237.58609836845</v>
      </c>
      <c r="U18" s="9">
        <f t="shared" si="8"/>
        <v>-170346.83548815717</v>
      </c>
      <c r="V18" s="9">
        <f t="shared" si="8"/>
        <v>-174552.84499224823</v>
      </c>
      <c r="W18" s="9">
        <f t="shared" si="8"/>
        <v>-111578.53046944365</v>
      </c>
      <c r="X18" s="9">
        <f t="shared" si="8"/>
        <v>-152700.48081635754</v>
      </c>
      <c r="Y18" s="9">
        <f t="shared" si="8"/>
        <v>-41568.66552469763</v>
      </c>
      <c r="Z18" s="9">
        <f t="shared" si="8"/>
        <v>-341485.02773060347</v>
      </c>
      <c r="AA18" s="9">
        <f t="shared" si="8"/>
        <v>-400068.77124108328</v>
      </c>
      <c r="AB18" s="9">
        <f t="shared" si="8"/>
        <v>-515144.68140040105</v>
      </c>
      <c r="AC18" s="9">
        <f t="shared" si="8"/>
        <v>119570.70725145843</v>
      </c>
      <c r="AD18" s="9">
        <f t="shared" si="8"/>
        <v>772974.1481663622</v>
      </c>
      <c r="AE18" s="9">
        <f t="shared" si="8"/>
        <v>1451836.0570268575</v>
      </c>
      <c r="AF18" s="9">
        <f t="shared" si="8"/>
        <v>2102912.6370132416</v>
      </c>
      <c r="AG18" s="9">
        <f t="shared" si="8"/>
        <v>2831539.8221335001</v>
      </c>
      <c r="AH18" s="9">
        <f t="shared" si="8"/>
        <v>3600276.1248269007</v>
      </c>
      <c r="AI18" s="9">
        <f t="shared" si="8"/>
        <v>4332905.6520952918</v>
      </c>
      <c r="AJ18" s="9">
        <f t="shared" si="8"/>
        <v>5162779.6751621813</v>
      </c>
      <c r="AK18" s="9">
        <f t="shared" si="8"/>
        <v>6061443.9416915253</v>
      </c>
      <c r="AL18" s="9">
        <f t="shared" si="8"/>
        <v>7007527.8496734798</v>
      </c>
    </row>
    <row r="19" spans="1:38" ht="13.4" customHeight="1" x14ac:dyDescent="0.65"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4"/>
    </row>
    <row r="20" spans="1:38" ht="13" customHeight="1" x14ac:dyDescent="0.65">
      <c r="A20" s="87" t="s">
        <v>106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</row>
    <row r="21" spans="1:38" ht="10.5" customHeight="1" x14ac:dyDescent="0.65">
      <c r="B21" s="4" t="s">
        <v>105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32.5</v>
      </c>
      <c r="I21" s="5">
        <v>95.41</v>
      </c>
      <c r="J21" s="5">
        <v>35</v>
      </c>
      <c r="K21" s="5">
        <v>0</v>
      </c>
      <c r="L21" s="5">
        <v>0</v>
      </c>
      <c r="M21" s="5">
        <v>0</v>
      </c>
      <c r="N21" s="5">
        <v>11329.29</v>
      </c>
      <c r="O21" s="5">
        <v>0</v>
      </c>
      <c r="P21" s="5">
        <v>0</v>
      </c>
      <c r="Q21" s="5">
        <v>0</v>
      </c>
      <c r="R21" s="5">
        <v>44.46</v>
      </c>
    </row>
    <row r="22" spans="1:38" ht="10.5" customHeight="1" x14ac:dyDescent="0.65">
      <c r="B22" s="6" t="s">
        <v>104</v>
      </c>
      <c r="C22" s="7">
        <v>0</v>
      </c>
      <c r="D22" s="7">
        <v>-4160.54</v>
      </c>
      <c r="E22" s="7">
        <v>-6.91</v>
      </c>
      <c r="F22" s="7">
        <v>-2705.76</v>
      </c>
      <c r="G22" s="7">
        <v>-315.83</v>
      </c>
      <c r="H22" s="7">
        <v>-591.96</v>
      </c>
      <c r="I22" s="7">
        <v>-983.45</v>
      </c>
      <c r="J22" s="7">
        <v>-857</v>
      </c>
      <c r="K22" s="7">
        <v>-930.1</v>
      </c>
      <c r="L22" s="7">
        <v>-694.28</v>
      </c>
      <c r="M22" s="7">
        <v>-201.51</v>
      </c>
      <c r="N22" s="7">
        <v>-222.32</v>
      </c>
      <c r="O22" s="7">
        <v>-9.99</v>
      </c>
      <c r="P22" s="7">
        <v>0</v>
      </c>
      <c r="Q22" s="7">
        <v>0</v>
      </c>
      <c r="R22" s="7">
        <v>0</v>
      </c>
    </row>
    <row r="23" spans="1:38" ht="10.5" customHeight="1" x14ac:dyDescent="0.65">
      <c r="A23" s="12"/>
      <c r="B23" s="89" t="s">
        <v>103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</row>
    <row r="24" spans="1:38" ht="10.5" customHeight="1" x14ac:dyDescent="0.65">
      <c r="B24" s="6" t="s">
        <v>67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-8029.17</v>
      </c>
    </row>
    <row r="25" spans="1:38" ht="10.5" customHeight="1" x14ac:dyDescent="0.65">
      <c r="B25" s="8" t="s">
        <v>102</v>
      </c>
      <c r="C25" s="9">
        <f t="shared" ref="C25:R25" si="9">C24</f>
        <v>0</v>
      </c>
      <c r="D25" s="9">
        <f t="shared" si="9"/>
        <v>0</v>
      </c>
      <c r="E25" s="9">
        <f t="shared" si="9"/>
        <v>0</v>
      </c>
      <c r="F25" s="9">
        <f t="shared" si="9"/>
        <v>0</v>
      </c>
      <c r="G25" s="9">
        <f t="shared" si="9"/>
        <v>0</v>
      </c>
      <c r="H25" s="9">
        <f t="shared" si="9"/>
        <v>0</v>
      </c>
      <c r="I25" s="9">
        <f t="shared" si="9"/>
        <v>0</v>
      </c>
      <c r="J25" s="9">
        <f t="shared" si="9"/>
        <v>0</v>
      </c>
      <c r="K25" s="9">
        <f t="shared" si="9"/>
        <v>0</v>
      </c>
      <c r="L25" s="9">
        <f t="shared" si="9"/>
        <v>0</v>
      </c>
      <c r="M25" s="9">
        <f t="shared" si="9"/>
        <v>0</v>
      </c>
      <c r="N25" s="9">
        <f t="shared" si="9"/>
        <v>0</v>
      </c>
      <c r="O25" s="9">
        <f t="shared" si="9"/>
        <v>0</v>
      </c>
      <c r="P25" s="9">
        <f t="shared" si="9"/>
        <v>0</v>
      </c>
      <c r="Q25" s="9">
        <f t="shared" si="9"/>
        <v>0</v>
      </c>
      <c r="R25" s="9">
        <f t="shared" si="9"/>
        <v>-8029.17</v>
      </c>
    </row>
    <row r="26" spans="1:38" ht="10.5" customHeight="1" x14ac:dyDescent="0.65">
      <c r="A26" s="8" t="s">
        <v>101</v>
      </c>
      <c r="C26" s="9">
        <f t="shared" ref="C26:R26" si="10">(SUM(C21:C22) + C25)</f>
        <v>0</v>
      </c>
      <c r="D26" s="9">
        <f t="shared" si="10"/>
        <v>-4160.54</v>
      </c>
      <c r="E26" s="9">
        <f t="shared" si="10"/>
        <v>-6.91</v>
      </c>
      <c r="F26" s="9">
        <f t="shared" si="10"/>
        <v>-2705.76</v>
      </c>
      <c r="G26" s="9">
        <f t="shared" si="10"/>
        <v>-315.83</v>
      </c>
      <c r="H26" s="9">
        <f t="shared" si="10"/>
        <v>-559.46</v>
      </c>
      <c r="I26" s="9">
        <f t="shared" si="10"/>
        <v>-888.04000000000008</v>
      </c>
      <c r="J26" s="9">
        <f t="shared" si="10"/>
        <v>-822</v>
      </c>
      <c r="K26" s="9">
        <f t="shared" si="10"/>
        <v>-930.1</v>
      </c>
      <c r="L26" s="9">
        <f t="shared" si="10"/>
        <v>-694.28</v>
      </c>
      <c r="M26" s="9">
        <f t="shared" si="10"/>
        <v>-201.51</v>
      </c>
      <c r="N26" s="9">
        <f t="shared" si="10"/>
        <v>11106.970000000001</v>
      </c>
      <c r="O26" s="9">
        <f t="shared" si="10"/>
        <v>-9.99</v>
      </c>
      <c r="P26" s="9">
        <f t="shared" si="10"/>
        <v>0</v>
      </c>
      <c r="Q26" s="9">
        <f t="shared" si="10"/>
        <v>0</v>
      </c>
      <c r="R26" s="9">
        <f t="shared" si="10"/>
        <v>-7984.71</v>
      </c>
    </row>
    <row r="27" spans="1:38" ht="13.4" customHeight="1" x14ac:dyDescent="0.65"/>
    <row r="28" spans="1:38" ht="13" customHeight="1" x14ac:dyDescent="0.65">
      <c r="A28" s="87" t="s">
        <v>100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</row>
    <row r="29" spans="1:38" ht="10.5" customHeight="1" x14ac:dyDescent="0.65">
      <c r="B29" s="4" t="s">
        <v>99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35000</v>
      </c>
      <c r="I29" s="5">
        <v>0</v>
      </c>
      <c r="J29" s="5">
        <v>0</v>
      </c>
      <c r="K29" s="5">
        <v>0</v>
      </c>
      <c r="L29" s="5">
        <v>-657.64</v>
      </c>
      <c r="M29" s="5">
        <v>-1963.15</v>
      </c>
      <c r="N29" s="5">
        <v>-1949.96</v>
      </c>
      <c r="O29" s="5">
        <v>-1937.09</v>
      </c>
      <c r="P29" s="5">
        <v>-1930.11</v>
      </c>
      <c r="Q29" s="5">
        <v>-1919.04</v>
      </c>
      <c r="R29" s="5">
        <v>-726.34</v>
      </c>
    </row>
    <row r="30" spans="1:38" ht="10.5" customHeight="1" x14ac:dyDescent="0.65">
      <c r="A30" s="12"/>
      <c r="B30" s="89" t="s">
        <v>98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</row>
    <row r="31" spans="1:38" ht="10.5" customHeight="1" x14ac:dyDescent="0.65">
      <c r="B31" s="6" t="s">
        <v>50</v>
      </c>
      <c r="C31" s="7">
        <v>0</v>
      </c>
      <c r="D31" s="7">
        <v>0</v>
      </c>
      <c r="E31" s="7">
        <v>0</v>
      </c>
      <c r="F31" s="7">
        <v>0</v>
      </c>
      <c r="G31" s="7">
        <v>284600</v>
      </c>
      <c r="H31" s="7">
        <v>-159600</v>
      </c>
      <c r="I31" s="7">
        <v>-125000</v>
      </c>
      <c r="J31" s="7">
        <v>0</v>
      </c>
      <c r="K31" s="7">
        <v>101616</v>
      </c>
      <c r="L31" s="7">
        <v>344099.76</v>
      </c>
      <c r="M31" s="7">
        <v>-445715.76</v>
      </c>
      <c r="N31" s="7">
        <v>0</v>
      </c>
      <c r="O31" s="7">
        <v>34047.980000000003</v>
      </c>
      <c r="P31" s="7">
        <v>-4548.6099999999997</v>
      </c>
      <c r="Q31" s="7">
        <v>645897.18000000005</v>
      </c>
      <c r="R31" s="7">
        <v>-675396.55</v>
      </c>
    </row>
    <row r="32" spans="1:38" ht="10.5" customHeight="1" x14ac:dyDescent="0.65">
      <c r="B32" s="6" t="s">
        <v>44</v>
      </c>
      <c r="C32" s="7">
        <v>0</v>
      </c>
      <c r="D32" s="7">
        <v>493995.73</v>
      </c>
      <c r="E32" s="7">
        <v>0</v>
      </c>
      <c r="F32" s="7">
        <v>0</v>
      </c>
      <c r="G32" s="7">
        <v>0</v>
      </c>
      <c r="H32" s="7">
        <v>449600</v>
      </c>
      <c r="I32" s="7">
        <v>145000</v>
      </c>
      <c r="J32" s="7">
        <v>0</v>
      </c>
      <c r="K32" s="7">
        <v>0</v>
      </c>
      <c r="L32" s="7">
        <v>276600</v>
      </c>
      <c r="M32" s="7">
        <v>465716.47999999998</v>
      </c>
      <c r="N32" s="7">
        <v>0</v>
      </c>
      <c r="O32" s="7">
        <v>0</v>
      </c>
      <c r="P32" s="7">
        <v>236067</v>
      </c>
      <c r="Q32" s="7">
        <v>0</v>
      </c>
      <c r="R32" s="7">
        <v>775393.93</v>
      </c>
      <c r="T32" s="84">
        <v>3000000</v>
      </c>
      <c r="U32" s="84"/>
    </row>
    <row r="33" spans="1:38" ht="10.5" customHeight="1" x14ac:dyDescent="0.65">
      <c r="B33" s="8" t="s">
        <v>97</v>
      </c>
      <c r="C33" s="9">
        <f t="shared" ref="C33:R33" si="11">SUM(C31:C32)</f>
        <v>0</v>
      </c>
      <c r="D33" s="9">
        <f t="shared" si="11"/>
        <v>493995.73</v>
      </c>
      <c r="E33" s="9">
        <f t="shared" si="11"/>
        <v>0</v>
      </c>
      <c r="F33" s="9">
        <f t="shared" si="11"/>
        <v>0</v>
      </c>
      <c r="G33" s="9">
        <f t="shared" si="11"/>
        <v>284600</v>
      </c>
      <c r="H33" s="9">
        <f t="shared" si="11"/>
        <v>290000</v>
      </c>
      <c r="I33" s="9">
        <f t="shared" si="11"/>
        <v>20000</v>
      </c>
      <c r="J33" s="9">
        <f t="shared" si="11"/>
        <v>0</v>
      </c>
      <c r="K33" s="9">
        <f t="shared" si="11"/>
        <v>101616</v>
      </c>
      <c r="L33" s="9">
        <f t="shared" si="11"/>
        <v>620699.76</v>
      </c>
      <c r="M33" s="9">
        <f t="shared" si="11"/>
        <v>20000.719999999972</v>
      </c>
      <c r="N33" s="9">
        <f t="shared" si="11"/>
        <v>0</v>
      </c>
      <c r="O33" s="9">
        <f t="shared" si="11"/>
        <v>34047.980000000003</v>
      </c>
      <c r="P33" s="9">
        <f t="shared" si="11"/>
        <v>231518.39</v>
      </c>
      <c r="Q33" s="9">
        <f t="shared" si="11"/>
        <v>645897.18000000005</v>
      </c>
      <c r="R33" s="9">
        <f t="shared" si="11"/>
        <v>99997.38</v>
      </c>
      <c r="S33" s="9">
        <f t="shared" ref="S33" si="12">SUM(S31:S32)</f>
        <v>0</v>
      </c>
      <c r="T33" s="9">
        <f t="shared" ref="T33:U33" si="13">SUM(T31:T32)</f>
        <v>3000000</v>
      </c>
      <c r="U33" s="9">
        <f t="shared" si="13"/>
        <v>0</v>
      </c>
    </row>
    <row r="34" spans="1:38" ht="10.5" customHeight="1" x14ac:dyDescent="0.65">
      <c r="A34" s="8" t="s">
        <v>96</v>
      </c>
      <c r="C34" s="9">
        <f t="shared" ref="C34:R34" si="14">(C29 + C33)</f>
        <v>0</v>
      </c>
      <c r="D34" s="9">
        <f t="shared" si="14"/>
        <v>493995.73</v>
      </c>
      <c r="E34" s="9">
        <f t="shared" si="14"/>
        <v>0</v>
      </c>
      <c r="F34" s="9">
        <f t="shared" si="14"/>
        <v>0</v>
      </c>
      <c r="G34" s="9">
        <f t="shared" si="14"/>
        <v>284600</v>
      </c>
      <c r="H34" s="9">
        <f t="shared" si="14"/>
        <v>325000</v>
      </c>
      <c r="I34" s="9">
        <f t="shared" si="14"/>
        <v>20000</v>
      </c>
      <c r="J34" s="9">
        <f t="shared" si="14"/>
        <v>0</v>
      </c>
      <c r="K34" s="9">
        <f t="shared" si="14"/>
        <v>101616</v>
      </c>
      <c r="L34" s="9">
        <f t="shared" si="14"/>
        <v>620042.12</v>
      </c>
      <c r="M34" s="9">
        <f t="shared" si="14"/>
        <v>18037.569999999971</v>
      </c>
      <c r="N34" s="9">
        <f t="shared" si="14"/>
        <v>-1949.96</v>
      </c>
      <c r="O34" s="9">
        <f t="shared" si="14"/>
        <v>32110.890000000003</v>
      </c>
      <c r="P34" s="9">
        <f t="shared" si="14"/>
        <v>229588.28000000003</v>
      </c>
      <c r="Q34" s="9">
        <f t="shared" si="14"/>
        <v>643978.14</v>
      </c>
      <c r="R34" s="9">
        <f t="shared" si="14"/>
        <v>99271.040000000008</v>
      </c>
      <c r="S34" s="9">
        <f t="shared" ref="S34:T34" si="15">(S29 + S33)</f>
        <v>0</v>
      </c>
      <c r="T34" s="9">
        <f t="shared" si="15"/>
        <v>3000000</v>
      </c>
      <c r="U34" s="9">
        <f t="shared" ref="U34" si="16">(U29 + U33)</f>
        <v>0</v>
      </c>
    </row>
    <row r="35" spans="1:38" ht="13.4" customHeight="1" x14ac:dyDescent="0.65"/>
    <row r="36" spans="1:38" ht="10.5" customHeight="1" x14ac:dyDescent="0.65">
      <c r="B36" s="10" t="s">
        <v>95</v>
      </c>
      <c r="C36" s="11">
        <f t="shared" ref="C36:S36" si="17">((C18 + C26) + C34)</f>
        <v>5916.95</v>
      </c>
      <c r="D36" s="11">
        <f t="shared" si="17"/>
        <v>380253.12</v>
      </c>
      <c r="E36" s="11">
        <f t="shared" si="17"/>
        <v>-137861.97</v>
      </c>
      <c r="F36" s="11">
        <f t="shared" si="17"/>
        <v>-131020.86999999998</v>
      </c>
      <c r="G36" s="11">
        <f t="shared" si="17"/>
        <v>179022.93</v>
      </c>
      <c r="H36" s="11">
        <f t="shared" si="17"/>
        <v>208703.78999999998</v>
      </c>
      <c r="I36" s="11">
        <f t="shared" si="17"/>
        <v>-113993.56000000003</v>
      </c>
      <c r="J36" s="11">
        <f t="shared" si="17"/>
        <v>-185770.44</v>
      </c>
      <c r="K36" s="11">
        <f t="shared" si="17"/>
        <v>189666.50000000003</v>
      </c>
      <c r="L36" s="11">
        <f t="shared" si="17"/>
        <v>316147.92</v>
      </c>
      <c r="M36" s="11">
        <f t="shared" si="17"/>
        <v>-240734.56000000003</v>
      </c>
      <c r="N36" s="11">
        <f t="shared" si="17"/>
        <v>-248825.59</v>
      </c>
      <c r="O36" s="11">
        <f t="shared" si="17"/>
        <v>-38675.56</v>
      </c>
      <c r="P36" s="11">
        <f t="shared" si="17"/>
        <v>-51647.330000000016</v>
      </c>
      <c r="Q36" s="11">
        <f t="shared" si="17"/>
        <v>425943.78</v>
      </c>
      <c r="R36" s="11">
        <f t="shared" si="17"/>
        <v>-158996.54000000004</v>
      </c>
      <c r="S36" s="11">
        <f t="shared" si="17"/>
        <v>-237528.38095932396</v>
      </c>
      <c r="T36" s="11">
        <f t="shared" ref="T36:AL36" si="18">((T18 + T26) + T34)</f>
        <v>2873762.4139016317</v>
      </c>
      <c r="U36" s="11">
        <f t="shared" si="18"/>
        <v>-170346.83548815717</v>
      </c>
      <c r="V36" s="11">
        <f t="shared" si="18"/>
        <v>-174552.84499224823</v>
      </c>
      <c r="W36" s="11">
        <f t="shared" si="18"/>
        <v>-111578.53046944365</v>
      </c>
      <c r="X36" s="11">
        <f t="shared" si="18"/>
        <v>-152700.48081635754</v>
      </c>
      <c r="Y36" s="11">
        <f t="shared" si="18"/>
        <v>-41568.66552469763</v>
      </c>
      <c r="Z36" s="11">
        <f t="shared" si="18"/>
        <v>-341485.02773060347</v>
      </c>
      <c r="AA36" s="11">
        <f t="shared" si="18"/>
        <v>-400068.77124108328</v>
      </c>
      <c r="AB36" s="11">
        <f t="shared" si="18"/>
        <v>-515144.68140040105</v>
      </c>
      <c r="AC36" s="11">
        <f t="shared" si="18"/>
        <v>119570.70725145843</v>
      </c>
      <c r="AD36" s="11">
        <f t="shared" si="18"/>
        <v>772974.1481663622</v>
      </c>
      <c r="AE36" s="11">
        <f t="shared" si="18"/>
        <v>1451836.0570268575</v>
      </c>
      <c r="AF36" s="11">
        <f t="shared" si="18"/>
        <v>2102912.6370132416</v>
      </c>
      <c r="AG36" s="11">
        <f t="shared" si="18"/>
        <v>2831539.8221335001</v>
      </c>
      <c r="AH36" s="11">
        <f t="shared" si="18"/>
        <v>3600276.1248269007</v>
      </c>
      <c r="AI36" s="11">
        <f t="shared" si="18"/>
        <v>4332905.6520952918</v>
      </c>
      <c r="AJ36" s="11">
        <f t="shared" si="18"/>
        <v>5162779.6751621813</v>
      </c>
      <c r="AK36" s="11">
        <f t="shared" si="18"/>
        <v>6061443.9416915253</v>
      </c>
      <c r="AL36" s="11">
        <f t="shared" si="18"/>
        <v>7007527.8496734798</v>
      </c>
    </row>
    <row r="37" spans="1:38" ht="13.4" customHeight="1" x14ac:dyDescent="0.65"/>
    <row r="38" spans="1:38" ht="13" customHeight="1" x14ac:dyDescent="0.65">
      <c r="A38" s="87" t="s">
        <v>94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</row>
    <row r="39" spans="1:38" ht="10.5" customHeight="1" x14ac:dyDescent="0.65">
      <c r="B39" s="4" t="s">
        <v>93</v>
      </c>
      <c r="C39" s="5">
        <v>0</v>
      </c>
      <c r="D39" s="5">
        <v>5916.95</v>
      </c>
      <c r="E39" s="5">
        <v>386170.07</v>
      </c>
      <c r="F39" s="5">
        <v>248308.1</v>
      </c>
      <c r="G39" s="5">
        <v>117287.23</v>
      </c>
      <c r="H39" s="5">
        <v>296310.15999999997</v>
      </c>
      <c r="I39" s="5">
        <v>505013.95</v>
      </c>
      <c r="J39" s="5">
        <v>391020.39</v>
      </c>
      <c r="K39" s="5">
        <v>205249.95</v>
      </c>
      <c r="L39" s="5">
        <v>394916.45</v>
      </c>
      <c r="M39" s="5">
        <v>711064.37</v>
      </c>
      <c r="N39" s="5">
        <v>470329.81</v>
      </c>
      <c r="O39" s="5">
        <v>221504.22</v>
      </c>
      <c r="P39" s="5">
        <v>182828.66</v>
      </c>
      <c r="Q39" s="5">
        <v>131181.32999999999</v>
      </c>
      <c r="R39" s="5">
        <v>557125.11</v>
      </c>
      <c r="S39" s="46">
        <f>R40</f>
        <v>398128.57</v>
      </c>
      <c r="T39" s="46">
        <f t="shared" ref="T39:AL39" si="19">S40</f>
        <v>160600.18904067605</v>
      </c>
      <c r="U39" s="46">
        <f t="shared" si="19"/>
        <v>3034362.6029423079</v>
      </c>
      <c r="V39" s="46">
        <f t="shared" si="19"/>
        <v>2864015.7674541506</v>
      </c>
      <c r="W39" s="46">
        <f t="shared" si="19"/>
        <v>2689462.9224619023</v>
      </c>
      <c r="X39" s="46">
        <f t="shared" si="19"/>
        <v>2577884.3919924586</v>
      </c>
      <c r="Y39" s="46">
        <f t="shared" si="19"/>
        <v>2425183.9111761013</v>
      </c>
      <c r="Z39" s="46">
        <f t="shared" si="19"/>
        <v>2383615.2456514034</v>
      </c>
      <c r="AA39" s="46">
        <f t="shared" si="19"/>
        <v>2042130.2179208</v>
      </c>
      <c r="AB39" s="46">
        <f t="shared" si="19"/>
        <v>1642061.4466797167</v>
      </c>
      <c r="AC39" s="46">
        <f t="shared" si="19"/>
        <v>1126916.7652793156</v>
      </c>
      <c r="AD39" s="46">
        <f t="shared" si="19"/>
        <v>1246487.4725307741</v>
      </c>
      <c r="AE39" s="46">
        <f t="shared" si="19"/>
        <v>2019461.6206971363</v>
      </c>
      <c r="AF39" s="46">
        <f t="shared" si="19"/>
        <v>3471297.6777239935</v>
      </c>
      <c r="AG39" s="46">
        <f t="shared" si="19"/>
        <v>5574210.3147372352</v>
      </c>
      <c r="AH39" s="46">
        <f t="shared" si="19"/>
        <v>8405750.1368707344</v>
      </c>
      <c r="AI39" s="46">
        <f t="shared" si="19"/>
        <v>12006026.261697635</v>
      </c>
      <c r="AJ39" s="46">
        <f t="shared" si="19"/>
        <v>16338931.913792927</v>
      </c>
      <c r="AK39" s="46">
        <f t="shared" si="19"/>
        <v>21501711.588955108</v>
      </c>
      <c r="AL39" s="46">
        <f t="shared" si="19"/>
        <v>27563155.530646633</v>
      </c>
    </row>
    <row r="40" spans="1:38" ht="10.5" customHeight="1" x14ac:dyDescent="0.65">
      <c r="B40" s="6" t="s">
        <v>92</v>
      </c>
      <c r="C40" s="7">
        <v>5916.95</v>
      </c>
      <c r="D40" s="7">
        <v>386170.07</v>
      </c>
      <c r="E40" s="7">
        <v>248308.1</v>
      </c>
      <c r="F40" s="7">
        <v>117287.23</v>
      </c>
      <c r="G40" s="7">
        <v>296310.15999999997</v>
      </c>
      <c r="H40" s="7">
        <v>505013.95</v>
      </c>
      <c r="I40" s="7">
        <v>391020.39</v>
      </c>
      <c r="J40" s="7">
        <v>205249.95</v>
      </c>
      <c r="K40" s="7">
        <v>394916.45</v>
      </c>
      <c r="L40" s="7">
        <v>711064.37</v>
      </c>
      <c r="M40" s="7">
        <v>470329.81</v>
      </c>
      <c r="N40" s="7">
        <v>221504.22</v>
      </c>
      <c r="O40" s="7">
        <v>182828.66</v>
      </c>
      <c r="P40" s="7">
        <v>131181.32999999999</v>
      </c>
      <c r="Q40" s="7">
        <v>557125.11</v>
      </c>
      <c r="R40" s="7">
        <v>398128.57</v>
      </c>
      <c r="S40" s="7">
        <f>S39+S41</f>
        <v>160600.18904067605</v>
      </c>
      <c r="T40" s="7">
        <f t="shared" ref="T40:AL40" si="20">T39+T41</f>
        <v>3034362.6029423079</v>
      </c>
      <c r="U40" s="7">
        <f t="shared" si="20"/>
        <v>2864015.7674541506</v>
      </c>
      <c r="V40" s="7">
        <f t="shared" si="20"/>
        <v>2689462.9224619023</v>
      </c>
      <c r="W40" s="7">
        <f t="shared" si="20"/>
        <v>2577884.3919924586</v>
      </c>
      <c r="X40" s="7">
        <f t="shared" si="20"/>
        <v>2425183.9111761013</v>
      </c>
      <c r="Y40" s="7">
        <f t="shared" si="20"/>
        <v>2383615.2456514034</v>
      </c>
      <c r="Z40" s="7">
        <f t="shared" si="20"/>
        <v>2042130.2179208</v>
      </c>
      <c r="AA40" s="7">
        <f t="shared" si="20"/>
        <v>1642061.4466797167</v>
      </c>
      <c r="AB40" s="7">
        <f t="shared" si="20"/>
        <v>1126916.7652793156</v>
      </c>
      <c r="AC40" s="7">
        <f t="shared" si="20"/>
        <v>1246487.4725307741</v>
      </c>
      <c r="AD40" s="7">
        <f t="shared" si="20"/>
        <v>2019461.6206971363</v>
      </c>
      <c r="AE40" s="7">
        <f t="shared" si="20"/>
        <v>3471297.6777239935</v>
      </c>
      <c r="AF40" s="7">
        <f t="shared" si="20"/>
        <v>5574210.3147372352</v>
      </c>
      <c r="AG40" s="7">
        <f t="shared" si="20"/>
        <v>8405750.1368707344</v>
      </c>
      <c r="AH40" s="7">
        <f t="shared" si="20"/>
        <v>12006026.261697635</v>
      </c>
      <c r="AI40" s="7">
        <f t="shared" si="20"/>
        <v>16338931.913792927</v>
      </c>
      <c r="AJ40" s="7">
        <f t="shared" si="20"/>
        <v>21501711.588955108</v>
      </c>
      <c r="AK40" s="7">
        <f t="shared" si="20"/>
        <v>27563155.530646633</v>
      </c>
      <c r="AL40" s="7">
        <f t="shared" si="20"/>
        <v>34570683.380320117</v>
      </c>
    </row>
    <row r="41" spans="1:38" ht="10.5" customHeight="1" x14ac:dyDescent="0.65">
      <c r="A41" s="8" t="s">
        <v>91</v>
      </c>
      <c r="C41" s="9">
        <v>5916.95</v>
      </c>
      <c r="D41" s="9">
        <v>380253.12</v>
      </c>
      <c r="E41" s="9">
        <v>-137861.97</v>
      </c>
      <c r="F41" s="9">
        <v>-131020.87</v>
      </c>
      <c r="G41" s="9">
        <v>179022.93</v>
      </c>
      <c r="H41" s="9">
        <v>208703.79</v>
      </c>
      <c r="I41" s="9">
        <v>-113993.56</v>
      </c>
      <c r="J41" s="9">
        <v>-185770.44</v>
      </c>
      <c r="K41" s="9">
        <v>189666.5</v>
      </c>
      <c r="L41" s="9">
        <v>316147.92</v>
      </c>
      <c r="M41" s="9">
        <v>-240734.56</v>
      </c>
      <c r="N41" s="9">
        <v>-248825.59</v>
      </c>
      <c r="O41" s="9">
        <v>-38675.56</v>
      </c>
      <c r="P41" s="9">
        <v>-51647.33</v>
      </c>
      <c r="Q41" s="9">
        <v>425943.78</v>
      </c>
      <c r="R41" s="9">
        <v>-158996.54</v>
      </c>
      <c r="S41" s="9">
        <f>S36</f>
        <v>-237528.38095932396</v>
      </c>
      <c r="T41" s="9">
        <f t="shared" ref="T41:AL41" si="21">T36</f>
        <v>2873762.4139016317</v>
      </c>
      <c r="U41" s="9">
        <f t="shared" si="21"/>
        <v>-170346.83548815717</v>
      </c>
      <c r="V41" s="9">
        <f t="shared" si="21"/>
        <v>-174552.84499224823</v>
      </c>
      <c r="W41" s="9">
        <f t="shared" si="21"/>
        <v>-111578.53046944365</v>
      </c>
      <c r="X41" s="9">
        <f t="shared" si="21"/>
        <v>-152700.48081635754</v>
      </c>
      <c r="Y41" s="9">
        <f t="shared" si="21"/>
        <v>-41568.66552469763</v>
      </c>
      <c r="Z41" s="9">
        <f t="shared" si="21"/>
        <v>-341485.02773060347</v>
      </c>
      <c r="AA41" s="9">
        <f t="shared" si="21"/>
        <v>-400068.77124108328</v>
      </c>
      <c r="AB41" s="9">
        <f t="shared" si="21"/>
        <v>-515144.68140040105</v>
      </c>
      <c r="AC41" s="9">
        <f t="shared" si="21"/>
        <v>119570.70725145843</v>
      </c>
      <c r="AD41" s="9">
        <f t="shared" si="21"/>
        <v>772974.1481663622</v>
      </c>
      <c r="AE41" s="9">
        <f t="shared" si="21"/>
        <v>1451836.0570268575</v>
      </c>
      <c r="AF41" s="9">
        <f t="shared" si="21"/>
        <v>2102912.6370132416</v>
      </c>
      <c r="AG41" s="9">
        <f t="shared" si="21"/>
        <v>2831539.8221335001</v>
      </c>
      <c r="AH41" s="9">
        <f t="shared" si="21"/>
        <v>3600276.1248269007</v>
      </c>
      <c r="AI41" s="9">
        <f t="shared" si="21"/>
        <v>4332905.6520952918</v>
      </c>
      <c r="AJ41" s="9">
        <f t="shared" si="21"/>
        <v>5162779.6751621813</v>
      </c>
      <c r="AK41" s="9">
        <f t="shared" si="21"/>
        <v>6061443.9416915253</v>
      </c>
      <c r="AL41" s="9">
        <f t="shared" si="21"/>
        <v>7007527.8496734798</v>
      </c>
    </row>
  </sheetData>
  <mergeCells count="8">
    <mergeCell ref="A7:R7"/>
    <mergeCell ref="B8:R8"/>
    <mergeCell ref="A38:R38"/>
    <mergeCell ref="B12:R12"/>
    <mergeCell ref="A20:R20"/>
    <mergeCell ref="B23:R23"/>
    <mergeCell ref="A28:R28"/>
    <mergeCell ref="B30:R30"/>
  </mergeCells>
  <pageMargins left="0.7" right="0.7" top="0.75" bottom="0.75" header="0.3" footer="0.3"/>
  <pageSetup paperSize="9" fitToWidth="0" fitToHeight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C9F6-4E1B-4625-B326-3B5232EF98DB}">
  <sheetPr>
    <tabColor theme="8" tint="0.79998168889431442"/>
  </sheetPr>
  <dimension ref="A1"/>
  <sheetViews>
    <sheetView workbookViewId="0"/>
  </sheetViews>
  <sheetFormatPr defaultRowHeight="14.25" x14ac:dyDescent="0.6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C8CD-1E88-4633-8757-A202283AD6C8}">
  <sheetPr>
    <tabColor theme="8" tint="0.79998168889431442"/>
  </sheetPr>
  <dimension ref="A1:Y106"/>
  <sheetViews>
    <sheetView zoomScaleNormal="100" workbookViewId="0"/>
  </sheetViews>
  <sheetFormatPr defaultColWidth="8.83203125" defaultRowHeight="10.5" x14ac:dyDescent="0.5"/>
  <cols>
    <col min="1" max="1" width="29.9140625" style="14" bestFit="1" customWidth="1"/>
    <col min="2" max="5" width="8.83203125" style="23"/>
    <col min="6" max="16384" width="8.83203125" style="14"/>
  </cols>
  <sheetData>
    <row r="1" spans="1:25" s="13" customFormat="1" x14ac:dyDescent="0.5">
      <c r="A1" s="15" t="s">
        <v>131</v>
      </c>
      <c r="B1" s="20"/>
      <c r="C1" s="20"/>
      <c r="D1" s="20"/>
      <c r="E1" s="20"/>
    </row>
    <row r="2" spans="1:25" s="13" customFormat="1" x14ac:dyDescent="0.5">
      <c r="B2" s="20"/>
      <c r="C2" s="20"/>
      <c r="D2" s="20"/>
      <c r="E2" s="20"/>
    </row>
    <row r="3" spans="1:25" s="13" customFormat="1" x14ac:dyDescent="0.5">
      <c r="A3" s="13" t="s">
        <v>119</v>
      </c>
      <c r="B3" s="20">
        <v>2022</v>
      </c>
      <c r="C3" s="20">
        <v>2022</v>
      </c>
      <c r="D3" s="20">
        <v>2022</v>
      </c>
      <c r="E3" s="20">
        <v>2022</v>
      </c>
      <c r="F3" s="13">
        <f t="shared" ref="F3:Y3" si="0">B3+1</f>
        <v>2023</v>
      </c>
      <c r="G3" s="13">
        <f t="shared" si="0"/>
        <v>2023</v>
      </c>
      <c r="H3" s="13">
        <f t="shared" si="0"/>
        <v>2023</v>
      </c>
      <c r="I3" s="13">
        <f t="shared" si="0"/>
        <v>2023</v>
      </c>
      <c r="J3" s="13">
        <f t="shared" si="0"/>
        <v>2024</v>
      </c>
      <c r="K3" s="13">
        <f t="shared" si="0"/>
        <v>2024</v>
      </c>
      <c r="L3" s="13">
        <f t="shared" si="0"/>
        <v>2024</v>
      </c>
      <c r="M3" s="13">
        <f t="shared" si="0"/>
        <v>2024</v>
      </c>
      <c r="N3" s="13">
        <f t="shared" si="0"/>
        <v>2025</v>
      </c>
      <c r="O3" s="13">
        <f t="shared" si="0"/>
        <v>2025</v>
      </c>
      <c r="P3" s="13">
        <f t="shared" si="0"/>
        <v>2025</v>
      </c>
      <c r="Q3" s="13">
        <f t="shared" si="0"/>
        <v>2025</v>
      </c>
      <c r="R3" s="13">
        <f t="shared" si="0"/>
        <v>2026</v>
      </c>
      <c r="S3" s="13">
        <f t="shared" si="0"/>
        <v>2026</v>
      </c>
      <c r="T3" s="13">
        <f t="shared" si="0"/>
        <v>2026</v>
      </c>
      <c r="U3" s="13">
        <f t="shared" si="0"/>
        <v>2026</v>
      </c>
      <c r="V3" s="13">
        <f t="shared" si="0"/>
        <v>2027</v>
      </c>
      <c r="W3" s="13">
        <f t="shared" si="0"/>
        <v>2027</v>
      </c>
      <c r="X3" s="13">
        <f t="shared" si="0"/>
        <v>2027</v>
      </c>
      <c r="Y3" s="13">
        <f t="shared" si="0"/>
        <v>2027</v>
      </c>
    </row>
    <row r="4" spans="1:25" s="13" customFormat="1" x14ac:dyDescent="0.5">
      <c r="A4" s="13" t="s">
        <v>120</v>
      </c>
      <c r="B4" s="20">
        <v>1</v>
      </c>
      <c r="C4" s="20">
        <f>B4+1</f>
        <v>2</v>
      </c>
      <c r="D4" s="20">
        <f>C4+1</f>
        <v>3</v>
      </c>
      <c r="E4" s="20">
        <f>D4+1</f>
        <v>4</v>
      </c>
      <c r="F4" s="13">
        <f t="shared" ref="F4:Y4" si="1">B4</f>
        <v>1</v>
      </c>
      <c r="G4" s="13">
        <f t="shared" si="1"/>
        <v>2</v>
      </c>
      <c r="H4" s="13">
        <f t="shared" si="1"/>
        <v>3</v>
      </c>
      <c r="I4" s="13">
        <f t="shared" si="1"/>
        <v>4</v>
      </c>
      <c r="J4" s="13">
        <f t="shared" si="1"/>
        <v>1</v>
      </c>
      <c r="K4" s="13">
        <f t="shared" si="1"/>
        <v>2</v>
      </c>
      <c r="L4" s="13">
        <f t="shared" si="1"/>
        <v>3</v>
      </c>
      <c r="M4" s="13">
        <f t="shared" si="1"/>
        <v>4</v>
      </c>
      <c r="N4" s="13">
        <f t="shared" si="1"/>
        <v>1</v>
      </c>
      <c r="O4" s="13">
        <f t="shared" si="1"/>
        <v>2</v>
      </c>
      <c r="P4" s="13">
        <f t="shared" si="1"/>
        <v>3</v>
      </c>
      <c r="Q4" s="13">
        <f t="shared" si="1"/>
        <v>4</v>
      </c>
      <c r="R4" s="13">
        <f t="shared" si="1"/>
        <v>1</v>
      </c>
      <c r="S4" s="13">
        <f t="shared" si="1"/>
        <v>2</v>
      </c>
      <c r="T4" s="13">
        <f t="shared" si="1"/>
        <v>3</v>
      </c>
      <c r="U4" s="13">
        <f t="shared" si="1"/>
        <v>4</v>
      </c>
      <c r="V4" s="13">
        <f t="shared" si="1"/>
        <v>1</v>
      </c>
      <c r="W4" s="13">
        <f t="shared" si="1"/>
        <v>2</v>
      </c>
      <c r="X4" s="13">
        <f t="shared" si="1"/>
        <v>3</v>
      </c>
      <c r="Y4" s="13">
        <f t="shared" si="1"/>
        <v>4</v>
      </c>
    </row>
    <row r="5" spans="1:25" s="13" customFormat="1" x14ac:dyDescent="0.5">
      <c r="B5" s="20"/>
      <c r="C5" s="20"/>
      <c r="D5" s="20"/>
      <c r="E5" s="20"/>
    </row>
    <row r="6" spans="1:25" x14ac:dyDescent="0.5">
      <c r="A6" s="31" t="s">
        <v>279</v>
      </c>
    </row>
    <row r="7" spans="1:25" x14ac:dyDescent="0.5">
      <c r="A7" s="27" t="s">
        <v>261</v>
      </c>
      <c r="B7" s="21">
        <f>Marketing!B16</f>
        <v>132</v>
      </c>
      <c r="C7" s="21">
        <f>Marketing!C16</f>
        <v>83</v>
      </c>
      <c r="D7" s="21">
        <f>Marketing!D16</f>
        <v>113</v>
      </c>
      <c r="E7" s="21">
        <f>Marketing!E16</f>
        <v>70</v>
      </c>
      <c r="F7" s="16">
        <f>Marketing!F16</f>
        <v>165</v>
      </c>
      <c r="G7" s="16">
        <f>Marketing!G16</f>
        <v>221</v>
      </c>
      <c r="H7" s="16">
        <f>Marketing!H16</f>
        <v>254</v>
      </c>
      <c r="I7" s="16">
        <f>Marketing!I16</f>
        <v>305</v>
      </c>
      <c r="J7" s="16">
        <f>Marketing!J16</f>
        <v>381</v>
      </c>
      <c r="K7" s="16">
        <f>Marketing!K16</f>
        <v>477</v>
      </c>
      <c r="L7" s="16">
        <f>Marketing!L16</f>
        <v>596</v>
      </c>
      <c r="M7" s="16">
        <f>Marketing!M16</f>
        <v>745</v>
      </c>
      <c r="N7" s="16">
        <f>Marketing!N16</f>
        <v>931</v>
      </c>
      <c r="O7" s="16">
        <f>Marketing!O16</f>
        <v>1164</v>
      </c>
      <c r="P7" s="16">
        <f>Marketing!P16</f>
        <v>1455</v>
      </c>
      <c r="Q7" s="16">
        <f>Marketing!Q16</f>
        <v>1818</v>
      </c>
      <c r="R7" s="16">
        <f>Marketing!R16</f>
        <v>2273</v>
      </c>
      <c r="S7" s="16">
        <f>Marketing!S16</f>
        <v>2841</v>
      </c>
      <c r="T7" s="16">
        <f>Marketing!T16</f>
        <v>3552</v>
      </c>
      <c r="U7" s="16">
        <f>Marketing!U16</f>
        <v>4439</v>
      </c>
      <c r="V7" s="16">
        <f>Marketing!V16</f>
        <v>5549</v>
      </c>
      <c r="W7" s="16">
        <f>Marketing!W16</f>
        <v>6937</v>
      </c>
      <c r="X7" s="16">
        <f>Marketing!X16</f>
        <v>8671</v>
      </c>
      <c r="Y7" s="16">
        <f>Marketing!Y16</f>
        <v>10838</v>
      </c>
    </row>
    <row r="8" spans="1:25" x14ac:dyDescent="0.5">
      <c r="A8" s="27" t="s">
        <v>262</v>
      </c>
      <c r="F8" s="16">
        <f>Marketing!F53</f>
        <v>0</v>
      </c>
      <c r="G8" s="16">
        <f>Marketing!G53</f>
        <v>0</v>
      </c>
      <c r="H8" s="16">
        <f>Marketing!H53</f>
        <v>0</v>
      </c>
      <c r="I8" s="16">
        <f>Marketing!I53</f>
        <v>0</v>
      </c>
      <c r="J8" s="16">
        <f>Marketing!J53</f>
        <v>0</v>
      </c>
      <c r="K8" s="16">
        <f>Marketing!K53</f>
        <v>0</v>
      </c>
      <c r="L8" s="16">
        <f>Marketing!L53</f>
        <v>0</v>
      </c>
      <c r="M8" s="16">
        <f>Marketing!M53</f>
        <v>405</v>
      </c>
      <c r="N8" s="16">
        <f>Marketing!N53</f>
        <v>810</v>
      </c>
      <c r="O8" s="16">
        <f>Marketing!O53</f>
        <v>1215</v>
      </c>
      <c r="P8" s="16">
        <f>Marketing!P53</f>
        <v>1620</v>
      </c>
      <c r="Q8" s="16">
        <f>Marketing!Q53</f>
        <v>2025</v>
      </c>
      <c r="R8" s="16">
        <f>Marketing!R53</f>
        <v>2430</v>
      </c>
      <c r="S8" s="16">
        <f>Marketing!S53</f>
        <v>2835</v>
      </c>
      <c r="T8" s="16">
        <f>Marketing!T53</f>
        <v>3240</v>
      </c>
      <c r="U8" s="16">
        <f>Marketing!U53</f>
        <v>3645</v>
      </c>
      <c r="V8" s="16">
        <f>Marketing!V53</f>
        <v>4050</v>
      </c>
      <c r="W8" s="16">
        <f>Marketing!W53</f>
        <v>4455</v>
      </c>
      <c r="X8" s="16">
        <f>Marketing!X53</f>
        <v>4860</v>
      </c>
      <c r="Y8" s="16">
        <f>Marketing!Y53</f>
        <v>5265</v>
      </c>
    </row>
    <row r="9" spans="1:25" x14ac:dyDescent="0.5">
      <c r="A9" s="37" t="s">
        <v>280</v>
      </c>
      <c r="B9" s="38">
        <f t="shared" ref="B9:E9" si="2">SUM(B7:B8)</f>
        <v>132</v>
      </c>
      <c r="C9" s="38">
        <f t="shared" si="2"/>
        <v>83</v>
      </c>
      <c r="D9" s="38">
        <f t="shared" si="2"/>
        <v>113</v>
      </c>
      <c r="E9" s="38">
        <f t="shared" si="2"/>
        <v>70</v>
      </c>
      <c r="F9" s="37">
        <f t="shared" ref="F9:Y9" si="3">SUM(F7:F8)</f>
        <v>165</v>
      </c>
      <c r="G9" s="37">
        <f t="shared" si="3"/>
        <v>221</v>
      </c>
      <c r="H9" s="37">
        <f t="shared" si="3"/>
        <v>254</v>
      </c>
      <c r="I9" s="37">
        <f t="shared" si="3"/>
        <v>305</v>
      </c>
      <c r="J9" s="37">
        <f t="shared" si="3"/>
        <v>381</v>
      </c>
      <c r="K9" s="37">
        <f t="shared" si="3"/>
        <v>477</v>
      </c>
      <c r="L9" s="37">
        <f t="shared" si="3"/>
        <v>596</v>
      </c>
      <c r="M9" s="37">
        <f t="shared" si="3"/>
        <v>1150</v>
      </c>
      <c r="N9" s="37">
        <f t="shared" si="3"/>
        <v>1741</v>
      </c>
      <c r="O9" s="37">
        <f t="shared" si="3"/>
        <v>2379</v>
      </c>
      <c r="P9" s="37">
        <f t="shared" si="3"/>
        <v>3075</v>
      </c>
      <c r="Q9" s="37">
        <f t="shared" si="3"/>
        <v>3843</v>
      </c>
      <c r="R9" s="37">
        <f t="shared" si="3"/>
        <v>4703</v>
      </c>
      <c r="S9" s="37">
        <f t="shared" si="3"/>
        <v>5676</v>
      </c>
      <c r="T9" s="37">
        <f t="shared" si="3"/>
        <v>6792</v>
      </c>
      <c r="U9" s="37">
        <f t="shared" si="3"/>
        <v>8084</v>
      </c>
      <c r="V9" s="37">
        <f t="shared" si="3"/>
        <v>9599</v>
      </c>
      <c r="W9" s="37">
        <f t="shared" si="3"/>
        <v>11392</v>
      </c>
      <c r="X9" s="37">
        <f t="shared" si="3"/>
        <v>13531</v>
      </c>
      <c r="Y9" s="37">
        <f t="shared" si="3"/>
        <v>16103</v>
      </c>
    </row>
    <row r="10" spans="1:25" x14ac:dyDescent="0.5">
      <c r="A10" s="31"/>
      <c r="B10" s="36"/>
      <c r="C10" s="36"/>
      <c r="D10" s="36"/>
      <c r="E10" s="36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x14ac:dyDescent="0.5">
      <c r="A11" s="14" t="s">
        <v>129</v>
      </c>
      <c r="B11" s="24">
        <v>3</v>
      </c>
      <c r="C11" s="24">
        <v>3</v>
      </c>
      <c r="D11" s="24">
        <v>3</v>
      </c>
      <c r="E11" s="24">
        <v>3</v>
      </c>
      <c r="F11" s="17">
        <v>3</v>
      </c>
      <c r="G11" s="14">
        <f t="shared" ref="G11:Y11" si="4">F11</f>
        <v>3</v>
      </c>
      <c r="H11" s="14">
        <f t="shared" si="4"/>
        <v>3</v>
      </c>
      <c r="I11" s="14">
        <f t="shared" si="4"/>
        <v>3</v>
      </c>
      <c r="J11" s="14">
        <f t="shared" si="4"/>
        <v>3</v>
      </c>
      <c r="K11" s="14">
        <f t="shared" si="4"/>
        <v>3</v>
      </c>
      <c r="L11" s="14">
        <f t="shared" si="4"/>
        <v>3</v>
      </c>
      <c r="M11" s="14">
        <f t="shared" si="4"/>
        <v>3</v>
      </c>
      <c r="N11" s="14">
        <f t="shared" si="4"/>
        <v>3</v>
      </c>
      <c r="O11" s="14">
        <f t="shared" si="4"/>
        <v>3</v>
      </c>
      <c r="P11" s="14">
        <f t="shared" si="4"/>
        <v>3</v>
      </c>
      <c r="Q11" s="14">
        <f t="shared" si="4"/>
        <v>3</v>
      </c>
      <c r="R11" s="14">
        <f t="shared" si="4"/>
        <v>3</v>
      </c>
      <c r="S11" s="14">
        <f t="shared" si="4"/>
        <v>3</v>
      </c>
      <c r="T11" s="14">
        <f t="shared" si="4"/>
        <v>3</v>
      </c>
      <c r="U11" s="14">
        <f t="shared" si="4"/>
        <v>3</v>
      </c>
      <c r="V11" s="14">
        <f t="shared" si="4"/>
        <v>3</v>
      </c>
      <c r="W11" s="14">
        <f t="shared" si="4"/>
        <v>3</v>
      </c>
      <c r="X11" s="14">
        <f t="shared" si="4"/>
        <v>3</v>
      </c>
      <c r="Y11" s="14">
        <f t="shared" si="4"/>
        <v>3</v>
      </c>
    </row>
    <row r="12" spans="1:25" x14ac:dyDescent="0.5">
      <c r="A12" s="14" t="s">
        <v>130</v>
      </c>
      <c r="B12" s="24"/>
      <c r="C12" s="24"/>
      <c r="D12" s="24"/>
      <c r="E12" s="24"/>
      <c r="F12" s="17"/>
    </row>
    <row r="13" spans="1:25" x14ac:dyDescent="0.5">
      <c r="A13" s="27" t="s">
        <v>261</v>
      </c>
      <c r="B13" s="25">
        <v>0.22</v>
      </c>
      <c r="C13" s="25">
        <v>0.4</v>
      </c>
      <c r="D13" s="25">
        <v>0.5</v>
      </c>
      <c r="E13" s="25">
        <v>0.6</v>
      </c>
      <c r="F13" s="18">
        <v>0.6</v>
      </c>
      <c r="G13" s="18">
        <v>0.6</v>
      </c>
      <c r="H13" s="18">
        <v>0.6</v>
      </c>
      <c r="I13" s="18">
        <v>0.6</v>
      </c>
      <c r="J13" s="18">
        <v>0.6</v>
      </c>
      <c r="K13" s="18">
        <v>0.6</v>
      </c>
      <c r="L13" s="18">
        <v>0.6</v>
      </c>
      <c r="M13" s="18">
        <v>0.6</v>
      </c>
      <c r="N13" s="18">
        <v>0.6</v>
      </c>
      <c r="O13" s="18">
        <v>0.6</v>
      </c>
      <c r="P13" s="18">
        <v>0.6</v>
      </c>
      <c r="Q13" s="18">
        <v>0.6</v>
      </c>
      <c r="R13" s="18">
        <v>0.6</v>
      </c>
      <c r="S13" s="18">
        <v>0.6</v>
      </c>
      <c r="T13" s="18">
        <v>0.6</v>
      </c>
      <c r="U13" s="18">
        <v>0.6</v>
      </c>
      <c r="V13" s="18">
        <v>0.6</v>
      </c>
      <c r="W13" s="18">
        <v>0.6</v>
      </c>
      <c r="X13" s="18">
        <v>0.6</v>
      </c>
      <c r="Y13" s="18">
        <v>0.6</v>
      </c>
    </row>
    <row r="14" spans="1:25" x14ac:dyDescent="0.5">
      <c r="A14" s="27" t="s">
        <v>262</v>
      </c>
      <c r="B14" s="25"/>
      <c r="C14" s="25"/>
      <c r="D14" s="25"/>
      <c r="E14" s="25"/>
      <c r="F14" s="18">
        <v>0.9</v>
      </c>
      <c r="G14" s="18">
        <v>0.9</v>
      </c>
      <c r="H14" s="18">
        <v>0.9</v>
      </c>
      <c r="I14" s="18">
        <v>0.9</v>
      </c>
      <c r="J14" s="18">
        <v>0.9</v>
      </c>
      <c r="K14" s="18">
        <v>0.9</v>
      </c>
      <c r="L14" s="18">
        <v>0.9</v>
      </c>
      <c r="M14" s="18">
        <v>0.9</v>
      </c>
      <c r="N14" s="18">
        <v>0.9</v>
      </c>
      <c r="O14" s="18">
        <v>0.9</v>
      </c>
      <c r="P14" s="18">
        <v>0.9</v>
      </c>
      <c r="Q14" s="18">
        <v>0.9</v>
      </c>
      <c r="R14" s="18">
        <v>0.9</v>
      </c>
      <c r="S14" s="18">
        <v>0.9</v>
      </c>
      <c r="T14" s="18">
        <v>0.9</v>
      </c>
      <c r="U14" s="18">
        <v>0.9</v>
      </c>
      <c r="V14" s="18">
        <v>0.9</v>
      </c>
      <c r="W14" s="18">
        <v>0.9</v>
      </c>
      <c r="X14" s="18">
        <v>0.9</v>
      </c>
      <c r="Y14" s="18">
        <v>0.9</v>
      </c>
    </row>
    <row r="15" spans="1:25" x14ac:dyDescent="0.5">
      <c r="A15" s="27"/>
      <c r="B15" s="25"/>
      <c r="C15" s="25"/>
      <c r="D15" s="25"/>
      <c r="E15" s="25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x14ac:dyDescent="0.5">
      <c r="A16" s="31" t="s">
        <v>264</v>
      </c>
      <c r="B16" s="25"/>
      <c r="C16" s="25"/>
      <c r="D16" s="25"/>
      <c r="E16" s="25"/>
    </row>
    <row r="17" spans="1:25" x14ac:dyDescent="0.5">
      <c r="A17" s="27" t="s">
        <v>261</v>
      </c>
      <c r="B17" s="24">
        <v>21</v>
      </c>
      <c r="C17" s="24">
        <v>15</v>
      </c>
      <c r="D17" s="24">
        <v>31</v>
      </c>
      <c r="E17" s="24">
        <v>29</v>
      </c>
      <c r="F17" s="14">
        <f t="shared" ref="F17:Y17" si="5">IF(D11=2,F94,0)+IF(C11=3,F95,0)+IF(B11=4,F96,0)</f>
        <v>33</v>
      </c>
      <c r="G17" s="14">
        <f t="shared" si="5"/>
        <v>57</v>
      </c>
      <c r="H17" s="14">
        <f t="shared" si="5"/>
        <v>42</v>
      </c>
      <c r="I17" s="14">
        <f t="shared" si="5"/>
        <v>99</v>
      </c>
      <c r="J17" s="14">
        <f t="shared" si="5"/>
        <v>133</v>
      </c>
      <c r="K17" s="14">
        <f t="shared" si="5"/>
        <v>152</v>
      </c>
      <c r="L17" s="14">
        <f t="shared" si="5"/>
        <v>183</v>
      </c>
      <c r="M17" s="14">
        <f t="shared" si="5"/>
        <v>229</v>
      </c>
      <c r="N17" s="14">
        <f t="shared" si="5"/>
        <v>286</v>
      </c>
      <c r="O17" s="14">
        <f t="shared" si="5"/>
        <v>358</v>
      </c>
      <c r="P17" s="14">
        <f t="shared" si="5"/>
        <v>690</v>
      </c>
      <c r="Q17" s="14">
        <f t="shared" si="5"/>
        <v>1045</v>
      </c>
      <c r="R17" s="14">
        <f t="shared" si="5"/>
        <v>1427</v>
      </c>
      <c r="S17" s="14">
        <f t="shared" si="5"/>
        <v>1845</v>
      </c>
      <c r="T17" s="14">
        <f t="shared" si="5"/>
        <v>2306</v>
      </c>
      <c r="U17" s="14">
        <f t="shared" si="5"/>
        <v>2822</v>
      </c>
      <c r="V17" s="14">
        <f t="shared" si="5"/>
        <v>3406</v>
      </c>
      <c r="W17" s="14">
        <f t="shared" si="5"/>
        <v>4075</v>
      </c>
      <c r="X17" s="14">
        <f t="shared" si="5"/>
        <v>4850</v>
      </c>
      <c r="Y17" s="14">
        <f t="shared" si="5"/>
        <v>5759</v>
      </c>
    </row>
    <row r="18" spans="1:25" x14ac:dyDescent="0.5">
      <c r="A18" s="27" t="s">
        <v>262</v>
      </c>
      <c r="B18" s="24"/>
      <c r="C18" s="24"/>
      <c r="D18" s="24"/>
      <c r="E18" s="24"/>
      <c r="F18" s="14">
        <f t="shared" ref="F18:Y18" si="6">IF(D11=2,F99,0)+IF(C11=3,F100,0)+IF(B11=4,F101,0)</f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6"/>
        <v>0</v>
      </c>
      <c r="O18" s="14">
        <f t="shared" si="6"/>
        <v>0</v>
      </c>
      <c r="P18" s="14">
        <f t="shared" si="6"/>
        <v>365</v>
      </c>
      <c r="Q18" s="14">
        <f t="shared" si="6"/>
        <v>729</v>
      </c>
      <c r="R18" s="14">
        <f t="shared" si="6"/>
        <v>1094</v>
      </c>
      <c r="S18" s="14">
        <f t="shared" si="6"/>
        <v>1458</v>
      </c>
      <c r="T18" s="14">
        <f t="shared" si="6"/>
        <v>1823</v>
      </c>
      <c r="U18" s="14">
        <f t="shared" si="6"/>
        <v>2187</v>
      </c>
      <c r="V18" s="14">
        <f t="shared" si="6"/>
        <v>2552</v>
      </c>
      <c r="W18" s="14">
        <f t="shared" si="6"/>
        <v>2916</v>
      </c>
      <c r="X18" s="14">
        <f t="shared" si="6"/>
        <v>3281</v>
      </c>
      <c r="Y18" s="14">
        <f t="shared" si="6"/>
        <v>3645</v>
      </c>
    </row>
    <row r="19" spans="1:25" x14ac:dyDescent="0.5">
      <c r="A19" s="14" t="s">
        <v>265</v>
      </c>
      <c r="B19" s="25">
        <f>B23/B17</f>
        <v>0</v>
      </c>
      <c r="C19" s="25">
        <f>C23/C17</f>
        <v>0</v>
      </c>
      <c r="D19" s="25">
        <f>D23/D17</f>
        <v>0</v>
      </c>
      <c r="E19" s="25">
        <f>E23/E17</f>
        <v>0.13793103448275862</v>
      </c>
      <c r="F19" s="76">
        <f>Marketing!F25</f>
        <v>0.1</v>
      </c>
      <c r="G19" s="76">
        <f>Marketing!G25</f>
        <v>0.2</v>
      </c>
      <c r="H19" s="76">
        <f>Marketing!H25</f>
        <v>0.2</v>
      </c>
      <c r="I19" s="76">
        <f>Marketing!I25</f>
        <v>0.2</v>
      </c>
      <c r="J19" s="76">
        <f>Marketing!J25</f>
        <v>0.2</v>
      </c>
      <c r="K19" s="76">
        <f>Marketing!K25</f>
        <v>0.2</v>
      </c>
      <c r="L19" s="76">
        <f>Marketing!L25</f>
        <v>0.3</v>
      </c>
      <c r="M19" s="76">
        <f>Marketing!M25</f>
        <v>0.3</v>
      </c>
      <c r="N19" s="76">
        <f>Marketing!N25</f>
        <v>0.3</v>
      </c>
      <c r="O19" s="76">
        <f>Marketing!O25</f>
        <v>0.3</v>
      </c>
      <c r="P19" s="76">
        <f>Marketing!P25</f>
        <v>0.4</v>
      </c>
      <c r="Q19" s="76">
        <f>Marketing!Q25</f>
        <v>0.4</v>
      </c>
      <c r="R19" s="76">
        <f>Marketing!R25</f>
        <v>0.4</v>
      </c>
      <c r="S19" s="76">
        <f>Marketing!S25</f>
        <v>0.4</v>
      </c>
      <c r="T19" s="76">
        <f>Marketing!T25</f>
        <v>0.4</v>
      </c>
      <c r="U19" s="76">
        <f>Marketing!U25</f>
        <v>0.4</v>
      </c>
      <c r="V19" s="76">
        <f>Marketing!V25</f>
        <v>0.4</v>
      </c>
      <c r="W19" s="76">
        <f>Marketing!W25</f>
        <v>0.4</v>
      </c>
      <c r="X19" s="76">
        <f>Marketing!X25</f>
        <v>0.4</v>
      </c>
      <c r="Y19" s="76">
        <f>Marketing!Y25</f>
        <v>0.4</v>
      </c>
    </row>
    <row r="21" spans="1:25" x14ac:dyDescent="0.5">
      <c r="A21" s="31" t="s">
        <v>264</v>
      </c>
    </row>
    <row r="22" spans="1:25" x14ac:dyDescent="0.5">
      <c r="A22" s="27" t="s">
        <v>261</v>
      </c>
      <c r="B22" s="24">
        <f>B17-B23</f>
        <v>21</v>
      </c>
      <c r="C22" s="24">
        <f>C17-C23</f>
        <v>15</v>
      </c>
      <c r="D22" s="24">
        <f>D17-D23</f>
        <v>31</v>
      </c>
      <c r="E22" s="24">
        <f>E17-E23</f>
        <v>25</v>
      </c>
      <c r="F22" s="14">
        <f t="shared" ref="F22:Y22" si="7">ROUND(F17*(1-F19),0)+F18</f>
        <v>30</v>
      </c>
      <c r="G22" s="14">
        <f t="shared" si="7"/>
        <v>46</v>
      </c>
      <c r="H22" s="14">
        <f t="shared" si="7"/>
        <v>34</v>
      </c>
      <c r="I22" s="14">
        <f t="shared" si="7"/>
        <v>79</v>
      </c>
      <c r="J22" s="14">
        <f t="shared" si="7"/>
        <v>106</v>
      </c>
      <c r="K22" s="14">
        <f t="shared" si="7"/>
        <v>122</v>
      </c>
      <c r="L22" s="14">
        <f t="shared" si="7"/>
        <v>128</v>
      </c>
      <c r="M22" s="14">
        <f t="shared" si="7"/>
        <v>160</v>
      </c>
      <c r="N22" s="14">
        <f t="shared" si="7"/>
        <v>200</v>
      </c>
      <c r="O22" s="14">
        <f t="shared" si="7"/>
        <v>251</v>
      </c>
      <c r="P22" s="14">
        <f t="shared" si="7"/>
        <v>779</v>
      </c>
      <c r="Q22" s="14">
        <f t="shared" si="7"/>
        <v>1356</v>
      </c>
      <c r="R22" s="14">
        <f t="shared" si="7"/>
        <v>1950</v>
      </c>
      <c r="S22" s="14">
        <f t="shared" si="7"/>
        <v>2565</v>
      </c>
      <c r="T22" s="14">
        <f t="shared" si="7"/>
        <v>3207</v>
      </c>
      <c r="U22" s="14">
        <f t="shared" si="7"/>
        <v>3880</v>
      </c>
      <c r="V22" s="14">
        <f t="shared" si="7"/>
        <v>4596</v>
      </c>
      <c r="W22" s="14">
        <f t="shared" si="7"/>
        <v>5361</v>
      </c>
      <c r="X22" s="14">
        <f t="shared" si="7"/>
        <v>6191</v>
      </c>
      <c r="Y22" s="14">
        <f t="shared" si="7"/>
        <v>7100</v>
      </c>
    </row>
    <row r="23" spans="1:25" x14ac:dyDescent="0.5">
      <c r="A23" s="27" t="s">
        <v>262</v>
      </c>
      <c r="B23" s="24">
        <v>0</v>
      </c>
      <c r="C23" s="24">
        <v>0</v>
      </c>
      <c r="D23" s="24">
        <v>0</v>
      </c>
      <c r="E23" s="24">
        <v>4</v>
      </c>
      <c r="F23" s="14">
        <f t="shared" ref="F23:Y23" si="8">ROUND(F17*F19,0)</f>
        <v>3</v>
      </c>
      <c r="G23" s="14">
        <f t="shared" si="8"/>
        <v>11</v>
      </c>
      <c r="H23" s="14">
        <f t="shared" si="8"/>
        <v>8</v>
      </c>
      <c r="I23" s="14">
        <f t="shared" si="8"/>
        <v>20</v>
      </c>
      <c r="J23" s="14">
        <f t="shared" si="8"/>
        <v>27</v>
      </c>
      <c r="K23" s="14">
        <f t="shared" si="8"/>
        <v>30</v>
      </c>
      <c r="L23" s="14">
        <f t="shared" si="8"/>
        <v>55</v>
      </c>
      <c r="M23" s="14">
        <f t="shared" si="8"/>
        <v>69</v>
      </c>
      <c r="N23" s="14">
        <f t="shared" si="8"/>
        <v>86</v>
      </c>
      <c r="O23" s="14">
        <f t="shared" si="8"/>
        <v>107</v>
      </c>
      <c r="P23" s="14">
        <f t="shared" si="8"/>
        <v>276</v>
      </c>
      <c r="Q23" s="14">
        <f t="shared" si="8"/>
        <v>418</v>
      </c>
      <c r="R23" s="14">
        <f t="shared" si="8"/>
        <v>571</v>
      </c>
      <c r="S23" s="14">
        <f t="shared" si="8"/>
        <v>738</v>
      </c>
      <c r="T23" s="14">
        <f t="shared" si="8"/>
        <v>922</v>
      </c>
      <c r="U23" s="14">
        <f t="shared" si="8"/>
        <v>1129</v>
      </c>
      <c r="V23" s="14">
        <f t="shared" si="8"/>
        <v>1362</v>
      </c>
      <c r="W23" s="14">
        <f t="shared" si="8"/>
        <v>1630</v>
      </c>
      <c r="X23" s="14">
        <f t="shared" si="8"/>
        <v>1940</v>
      </c>
      <c r="Y23" s="14">
        <f t="shared" si="8"/>
        <v>2304</v>
      </c>
    </row>
    <row r="24" spans="1:25" x14ac:dyDescent="0.5">
      <c r="A24" s="57" t="s">
        <v>276</v>
      </c>
      <c r="B24" s="56">
        <f>SUM(B22:B23)</f>
        <v>21</v>
      </c>
      <c r="C24" s="56">
        <f t="shared" ref="C24:E24" si="9">SUM(C22:C23)</f>
        <v>15</v>
      </c>
      <c r="D24" s="56">
        <f t="shared" si="9"/>
        <v>31</v>
      </c>
      <c r="E24" s="56">
        <f t="shared" si="9"/>
        <v>29</v>
      </c>
      <c r="F24" s="55">
        <f>SUM(F22:F23)</f>
        <v>33</v>
      </c>
      <c r="G24" s="55">
        <f t="shared" ref="G24:Y24" si="10">SUM(G22:G23)</f>
        <v>57</v>
      </c>
      <c r="H24" s="55">
        <f t="shared" si="10"/>
        <v>42</v>
      </c>
      <c r="I24" s="55">
        <f t="shared" si="10"/>
        <v>99</v>
      </c>
      <c r="J24" s="55">
        <f t="shared" si="10"/>
        <v>133</v>
      </c>
      <c r="K24" s="55">
        <f t="shared" si="10"/>
        <v>152</v>
      </c>
      <c r="L24" s="55">
        <f t="shared" si="10"/>
        <v>183</v>
      </c>
      <c r="M24" s="55">
        <f t="shared" si="10"/>
        <v>229</v>
      </c>
      <c r="N24" s="55">
        <f t="shared" si="10"/>
        <v>286</v>
      </c>
      <c r="O24" s="55">
        <f t="shared" si="10"/>
        <v>358</v>
      </c>
      <c r="P24" s="55">
        <f t="shared" si="10"/>
        <v>1055</v>
      </c>
      <c r="Q24" s="55">
        <f t="shared" si="10"/>
        <v>1774</v>
      </c>
      <c r="R24" s="55">
        <f t="shared" si="10"/>
        <v>2521</v>
      </c>
      <c r="S24" s="55">
        <f t="shared" si="10"/>
        <v>3303</v>
      </c>
      <c r="T24" s="55">
        <f t="shared" si="10"/>
        <v>4129</v>
      </c>
      <c r="U24" s="55">
        <f t="shared" si="10"/>
        <v>5009</v>
      </c>
      <c r="V24" s="55">
        <f t="shared" si="10"/>
        <v>5958</v>
      </c>
      <c r="W24" s="55">
        <f t="shared" si="10"/>
        <v>6991</v>
      </c>
      <c r="X24" s="55">
        <f t="shared" si="10"/>
        <v>8131</v>
      </c>
      <c r="Y24" s="55">
        <f t="shared" si="10"/>
        <v>9404</v>
      </c>
    </row>
    <row r="26" spans="1:25" x14ac:dyDescent="0.5">
      <c r="B26" s="25"/>
      <c r="C26" s="25"/>
      <c r="D26" s="25"/>
      <c r="E26" s="25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x14ac:dyDescent="0.5">
      <c r="B27" s="25"/>
      <c r="C27" s="25"/>
      <c r="D27" s="25"/>
      <c r="E27" s="25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x14ac:dyDescent="0.5">
      <c r="A28" s="31" t="s">
        <v>142</v>
      </c>
      <c r="B28" s="25"/>
      <c r="C28" s="25"/>
      <c r="D28" s="25"/>
      <c r="E28" s="25"/>
      <c r="F28" s="17">
        <v>500</v>
      </c>
      <c r="G28" s="14">
        <f>F28</f>
        <v>500</v>
      </c>
      <c r="H28" s="14">
        <f t="shared" ref="H28:Y28" si="11">G28</f>
        <v>500</v>
      </c>
      <c r="I28" s="14">
        <f t="shared" si="11"/>
        <v>500</v>
      </c>
      <c r="J28" s="14">
        <f t="shared" si="11"/>
        <v>500</v>
      </c>
      <c r="K28" s="14">
        <f t="shared" si="11"/>
        <v>500</v>
      </c>
      <c r="L28" s="14">
        <f t="shared" si="11"/>
        <v>500</v>
      </c>
      <c r="M28" s="14">
        <f t="shared" si="11"/>
        <v>500</v>
      </c>
      <c r="N28" s="14">
        <f t="shared" si="11"/>
        <v>500</v>
      </c>
      <c r="O28" s="14">
        <f t="shared" si="11"/>
        <v>500</v>
      </c>
      <c r="P28" s="14">
        <f t="shared" si="11"/>
        <v>500</v>
      </c>
      <c r="Q28" s="14">
        <f t="shared" si="11"/>
        <v>500</v>
      </c>
      <c r="R28" s="14">
        <f t="shared" si="11"/>
        <v>500</v>
      </c>
      <c r="S28" s="14">
        <f t="shared" si="11"/>
        <v>500</v>
      </c>
      <c r="T28" s="14">
        <f t="shared" si="11"/>
        <v>500</v>
      </c>
      <c r="U28" s="14">
        <f t="shared" si="11"/>
        <v>500</v>
      </c>
      <c r="V28" s="14">
        <f t="shared" si="11"/>
        <v>500</v>
      </c>
      <c r="W28" s="14">
        <f t="shared" si="11"/>
        <v>500</v>
      </c>
      <c r="X28" s="14">
        <f t="shared" si="11"/>
        <v>500</v>
      </c>
      <c r="Y28" s="14">
        <f t="shared" si="11"/>
        <v>500</v>
      </c>
    </row>
    <row r="29" spans="1:25" s="13" customFormat="1" x14ac:dyDescent="0.5">
      <c r="A29" s="13" t="s">
        <v>281</v>
      </c>
      <c r="B29" s="21">
        <f>Marketing!B14</f>
        <v>19</v>
      </c>
      <c r="C29" s="21">
        <f>Marketing!C14</f>
        <v>36</v>
      </c>
      <c r="D29" s="21">
        <f>Marketing!D14</f>
        <v>80</v>
      </c>
      <c r="E29" s="21">
        <f>Marketing!E14</f>
        <v>59</v>
      </c>
      <c r="F29" s="16">
        <f>Marketing!F14</f>
        <v>55</v>
      </c>
      <c r="G29" s="16">
        <f>Marketing!G14</f>
        <v>73.689000000000007</v>
      </c>
      <c r="H29" s="16">
        <f>Marketing!H14</f>
        <v>84.742350000000016</v>
      </c>
      <c r="I29" s="16">
        <f>Marketing!I14</f>
        <v>101.69082000000002</v>
      </c>
      <c r="J29" s="16">
        <f>Marketing!J14</f>
        <v>127.11352500000001</v>
      </c>
      <c r="K29" s="16">
        <f>Marketing!K14</f>
        <v>158.89190625000003</v>
      </c>
      <c r="L29" s="16">
        <f>Marketing!L14</f>
        <v>198.61488281250004</v>
      </c>
      <c r="M29" s="16">
        <f>Marketing!M14</f>
        <v>248.26860351562505</v>
      </c>
      <c r="N29" s="16">
        <f>Marketing!N14</f>
        <v>310.33575439453136</v>
      </c>
      <c r="O29" s="16">
        <f>Marketing!O14</f>
        <v>387.91969299316418</v>
      </c>
      <c r="P29" s="16">
        <f>Marketing!P14</f>
        <v>484.89961624145519</v>
      </c>
      <c r="Q29" s="16">
        <f>Marketing!Q14</f>
        <v>606.12452030181908</v>
      </c>
      <c r="R29" s="16">
        <f>Marketing!R14</f>
        <v>757.65565037727379</v>
      </c>
      <c r="S29" s="16">
        <f>Marketing!S14</f>
        <v>947.06956297159218</v>
      </c>
      <c r="T29" s="16">
        <f>Marketing!T14</f>
        <v>1183.8369537144904</v>
      </c>
      <c r="U29" s="16">
        <f>Marketing!U14</f>
        <v>1479.7961921431129</v>
      </c>
      <c r="V29" s="16">
        <f>Marketing!V14</f>
        <v>1849.745240178891</v>
      </c>
      <c r="W29" s="16">
        <f>Marketing!W14</f>
        <v>2312.1815502236141</v>
      </c>
      <c r="X29" s="16">
        <f>Marketing!X14</f>
        <v>2890.2269377795174</v>
      </c>
      <c r="Y29" s="16">
        <f>Marketing!Y14</f>
        <v>3612.7836722243965</v>
      </c>
    </row>
    <row r="30" spans="1:25" x14ac:dyDescent="0.5">
      <c r="A30" s="14" t="s">
        <v>141</v>
      </c>
      <c r="B30" s="25"/>
      <c r="C30" s="25"/>
      <c r="D30" s="25"/>
      <c r="E30" s="25"/>
      <c r="F30" s="14">
        <f t="shared" ref="F30:Y30" si="12">F29*F28</f>
        <v>27500</v>
      </c>
      <c r="G30" s="14">
        <f t="shared" si="12"/>
        <v>36844.5</v>
      </c>
      <c r="H30" s="14">
        <f t="shared" si="12"/>
        <v>42371.17500000001</v>
      </c>
      <c r="I30" s="14">
        <f t="shared" si="12"/>
        <v>50845.410000000011</v>
      </c>
      <c r="J30" s="14">
        <f t="shared" si="12"/>
        <v>63556.762500000004</v>
      </c>
      <c r="K30" s="14">
        <f t="shared" si="12"/>
        <v>79445.953125000015</v>
      </c>
      <c r="L30" s="14">
        <f t="shared" si="12"/>
        <v>99307.441406250015</v>
      </c>
      <c r="M30" s="14">
        <f t="shared" si="12"/>
        <v>124134.30175781253</v>
      </c>
      <c r="N30" s="14">
        <f t="shared" si="12"/>
        <v>155167.87719726568</v>
      </c>
      <c r="O30" s="14">
        <f t="shared" si="12"/>
        <v>193959.84649658209</v>
      </c>
      <c r="P30" s="14">
        <f t="shared" si="12"/>
        <v>242449.8081207276</v>
      </c>
      <c r="Q30" s="14">
        <f t="shared" si="12"/>
        <v>303062.26015090954</v>
      </c>
      <c r="R30" s="14">
        <f t="shared" si="12"/>
        <v>378827.8251886369</v>
      </c>
      <c r="S30" s="14">
        <f t="shared" si="12"/>
        <v>473534.78148579609</v>
      </c>
      <c r="T30" s="14">
        <f t="shared" si="12"/>
        <v>591918.4768572452</v>
      </c>
      <c r="U30" s="14">
        <f t="shared" si="12"/>
        <v>739898.09607155644</v>
      </c>
      <c r="V30" s="14">
        <f t="shared" si="12"/>
        <v>924872.6200894455</v>
      </c>
      <c r="W30" s="14">
        <f t="shared" si="12"/>
        <v>1156090.775111807</v>
      </c>
      <c r="X30" s="14">
        <f t="shared" si="12"/>
        <v>1445113.4688897587</v>
      </c>
      <c r="Y30" s="14">
        <f t="shared" si="12"/>
        <v>1806391.8361121982</v>
      </c>
    </row>
    <row r="31" spans="1:25" x14ac:dyDescent="0.5">
      <c r="A31" s="14" t="s">
        <v>144</v>
      </c>
      <c r="B31" s="25"/>
      <c r="C31" s="25"/>
      <c r="D31" s="25"/>
      <c r="E31" s="25"/>
      <c r="F31" s="14">
        <f t="shared" ref="F31:Y31" si="13">-(IF(D11=2,F104,0)+IF(C11=3,F105,0)+IF(B11=4,F106,0))</f>
        <v>0</v>
      </c>
      <c r="G31" s="14">
        <f t="shared" si="13"/>
        <v>0</v>
      </c>
      <c r="H31" s="14">
        <f t="shared" si="13"/>
        <v>0</v>
      </c>
      <c r="I31" s="14">
        <f t="shared" si="13"/>
        <v>-16500</v>
      </c>
      <c r="J31" s="14">
        <f t="shared" si="13"/>
        <v>-22106.7</v>
      </c>
      <c r="K31" s="14">
        <f t="shared" si="13"/>
        <v>-25422.705000000005</v>
      </c>
      <c r="L31" s="14">
        <f t="shared" si="13"/>
        <v>-30507.246000000006</v>
      </c>
      <c r="M31" s="14">
        <f t="shared" si="13"/>
        <v>-38134.057500000003</v>
      </c>
      <c r="N31" s="14">
        <f t="shared" si="13"/>
        <v>-47667.571875000009</v>
      </c>
      <c r="O31" s="14">
        <f t="shared" si="13"/>
        <v>-59584.464843750007</v>
      </c>
      <c r="P31" s="14">
        <f t="shared" si="13"/>
        <v>-74480.581054687515</v>
      </c>
      <c r="Q31" s="14">
        <f t="shared" si="13"/>
        <v>-93100.726318359404</v>
      </c>
      <c r="R31" s="14">
        <f t="shared" si="13"/>
        <v>-116375.90789794925</v>
      </c>
      <c r="S31" s="14">
        <f t="shared" si="13"/>
        <v>-145469.88487243655</v>
      </c>
      <c r="T31" s="14">
        <f t="shared" si="13"/>
        <v>-181837.35609054571</v>
      </c>
      <c r="U31" s="14">
        <f t="shared" si="13"/>
        <v>-227296.69511318213</v>
      </c>
      <c r="V31" s="14">
        <f t="shared" si="13"/>
        <v>-284120.86889147764</v>
      </c>
      <c r="W31" s="14">
        <f t="shared" si="13"/>
        <v>-355151.0861143471</v>
      </c>
      <c r="X31" s="14">
        <f t="shared" si="13"/>
        <v>-443938.85764293384</v>
      </c>
      <c r="Y31" s="14">
        <f t="shared" si="13"/>
        <v>-554923.57205366727</v>
      </c>
    </row>
    <row r="32" spans="1:25" x14ac:dyDescent="0.5">
      <c r="B32" s="25"/>
      <c r="C32" s="25"/>
      <c r="D32" s="25"/>
      <c r="E32" s="25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x14ac:dyDescent="0.5">
      <c r="A33" s="14" t="s">
        <v>132</v>
      </c>
      <c r="B33" s="21">
        <f>'P&amp;L-Q'!O46</f>
        <v>112127.84</v>
      </c>
      <c r="C33" s="21">
        <f>'P&amp;L-Q'!P46</f>
        <v>88199.25</v>
      </c>
      <c r="D33" s="21">
        <f>'P&amp;L-Q'!Q46</f>
        <v>178778.5</v>
      </c>
      <c r="E33" s="21">
        <f>'P&amp;L-Q'!R46</f>
        <v>149737.54999999999</v>
      </c>
      <c r="F33" s="14">
        <f t="shared" ref="F33:O33" si="14">F24*F34</f>
        <v>182915.42168674699</v>
      </c>
      <c r="G33" s="14">
        <f t="shared" si="14"/>
        <v>333646.72566371685</v>
      </c>
      <c r="H33" s="14">
        <f t="shared" si="14"/>
        <v>252150</v>
      </c>
      <c r="I33" s="14">
        <f t="shared" si="14"/>
        <v>495000</v>
      </c>
      <c r="J33" s="14">
        <f t="shared" si="14"/>
        <v>665000</v>
      </c>
      <c r="K33" s="14">
        <f t="shared" si="14"/>
        <v>760000</v>
      </c>
      <c r="L33" s="14">
        <f t="shared" si="14"/>
        <v>915000</v>
      </c>
      <c r="M33" s="14">
        <f t="shared" si="14"/>
        <v>1145000</v>
      </c>
      <c r="N33" s="14">
        <f t="shared" si="14"/>
        <v>1430000</v>
      </c>
      <c r="O33" s="14">
        <f t="shared" si="14"/>
        <v>1790000</v>
      </c>
      <c r="P33" s="14">
        <f>P24*P34</f>
        <v>5275000</v>
      </c>
      <c r="Q33" s="14">
        <f t="shared" ref="Q33:Y33" si="15">Q24*Q34</f>
        <v>8870000</v>
      </c>
      <c r="R33" s="14">
        <f t="shared" si="15"/>
        <v>12605000</v>
      </c>
      <c r="S33" s="14">
        <f t="shared" si="15"/>
        <v>16515000</v>
      </c>
      <c r="T33" s="14">
        <f t="shared" si="15"/>
        <v>20645000</v>
      </c>
      <c r="U33" s="14">
        <f t="shared" si="15"/>
        <v>25045000</v>
      </c>
      <c r="V33" s="14">
        <f t="shared" si="15"/>
        <v>29790000</v>
      </c>
      <c r="W33" s="14">
        <f t="shared" si="15"/>
        <v>34955000</v>
      </c>
      <c r="X33" s="14">
        <f t="shared" si="15"/>
        <v>40655000</v>
      </c>
      <c r="Y33" s="14">
        <f t="shared" si="15"/>
        <v>47020000</v>
      </c>
    </row>
    <row r="34" spans="1:25" x14ac:dyDescent="0.5">
      <c r="A34" s="14" t="s">
        <v>133</v>
      </c>
      <c r="B34" s="23">
        <f>B33/B17</f>
        <v>5339.4209523809523</v>
      </c>
      <c r="C34" s="23">
        <f>C33/C17</f>
        <v>5879.95</v>
      </c>
      <c r="D34" s="23">
        <f>D33/D17</f>
        <v>5767.0483870967746</v>
      </c>
      <c r="E34" s="23">
        <f>E33/E17</f>
        <v>5163.3637931034482</v>
      </c>
      <c r="F34" s="17">
        <f>460060/C7</f>
        <v>5542.8915662650606</v>
      </c>
      <c r="G34" s="17">
        <f>661440/D7</f>
        <v>5853.4513274336286</v>
      </c>
      <c r="H34" s="17">
        <f>420250/E7</f>
        <v>6003.5714285714284</v>
      </c>
      <c r="I34" s="17">
        <v>5000</v>
      </c>
      <c r="J34" s="14">
        <f>I34</f>
        <v>5000</v>
      </c>
      <c r="K34" s="14">
        <f>J34</f>
        <v>5000</v>
      </c>
      <c r="L34" s="14">
        <f t="shared" ref="L34:Y34" si="16">K34</f>
        <v>5000</v>
      </c>
      <c r="M34" s="14">
        <f t="shared" si="16"/>
        <v>5000</v>
      </c>
      <c r="N34" s="14">
        <f t="shared" si="16"/>
        <v>5000</v>
      </c>
      <c r="O34" s="14">
        <f t="shared" si="16"/>
        <v>5000</v>
      </c>
      <c r="P34" s="14">
        <f t="shared" si="16"/>
        <v>5000</v>
      </c>
      <c r="Q34" s="14">
        <f t="shared" si="16"/>
        <v>5000</v>
      </c>
      <c r="R34" s="14">
        <f t="shared" si="16"/>
        <v>5000</v>
      </c>
      <c r="S34" s="14">
        <f t="shared" si="16"/>
        <v>5000</v>
      </c>
      <c r="T34" s="14">
        <f t="shared" si="16"/>
        <v>5000</v>
      </c>
      <c r="U34" s="14">
        <f t="shared" si="16"/>
        <v>5000</v>
      </c>
      <c r="V34" s="14">
        <f t="shared" si="16"/>
        <v>5000</v>
      </c>
      <c r="W34" s="14">
        <f t="shared" si="16"/>
        <v>5000</v>
      </c>
      <c r="X34" s="14">
        <f t="shared" si="16"/>
        <v>5000</v>
      </c>
      <c r="Y34" s="14">
        <f t="shared" si="16"/>
        <v>5000</v>
      </c>
    </row>
    <row r="35" spans="1:25" x14ac:dyDescent="0.5">
      <c r="F35" s="17"/>
      <c r="G35" s="17"/>
      <c r="H35" s="17"/>
      <c r="I35" s="17"/>
    </row>
    <row r="36" spans="1:25" s="37" customFormat="1" x14ac:dyDescent="0.5">
      <c r="A36" s="37" t="s">
        <v>145</v>
      </c>
      <c r="B36" s="38">
        <f t="shared" ref="B36:E36" si="17">B30+B33+B31</f>
        <v>112127.84</v>
      </c>
      <c r="C36" s="38">
        <f t="shared" si="17"/>
        <v>88199.25</v>
      </c>
      <c r="D36" s="38">
        <f t="shared" si="17"/>
        <v>178778.5</v>
      </c>
      <c r="E36" s="38">
        <f t="shared" si="17"/>
        <v>149737.54999999999</v>
      </c>
      <c r="F36" s="37">
        <f>F30+F33+F31</f>
        <v>210415.42168674699</v>
      </c>
      <c r="G36" s="37">
        <f t="shared" ref="G36:Y36" si="18">G30+G33+G31</f>
        <v>370491.22566371685</v>
      </c>
      <c r="H36" s="37">
        <f t="shared" si="18"/>
        <v>294521.17499999999</v>
      </c>
      <c r="I36" s="37">
        <f t="shared" si="18"/>
        <v>529345.41</v>
      </c>
      <c r="J36" s="37">
        <f t="shared" si="18"/>
        <v>706450.0625</v>
      </c>
      <c r="K36" s="37">
        <f t="shared" si="18"/>
        <v>814023.24812500004</v>
      </c>
      <c r="L36" s="37">
        <f t="shared" si="18"/>
        <v>983800.19540624996</v>
      </c>
      <c r="M36" s="37">
        <f t="shared" si="18"/>
        <v>1231000.2442578124</v>
      </c>
      <c r="N36" s="37">
        <f t="shared" si="18"/>
        <v>1537500.3053222657</v>
      </c>
      <c r="O36" s="37">
        <f t="shared" si="18"/>
        <v>1924375.381652832</v>
      </c>
      <c r="P36" s="37">
        <f t="shared" si="18"/>
        <v>5442969.22706604</v>
      </c>
      <c r="Q36" s="37">
        <f t="shared" si="18"/>
        <v>9079961.53383255</v>
      </c>
      <c r="R36" s="37">
        <f t="shared" si="18"/>
        <v>12867451.917290688</v>
      </c>
      <c r="S36" s="37">
        <f t="shared" si="18"/>
        <v>16843064.896613359</v>
      </c>
      <c r="T36" s="37">
        <f t="shared" si="18"/>
        <v>21055081.120766699</v>
      </c>
      <c r="U36" s="37">
        <f t="shared" si="18"/>
        <v>25557601.400958374</v>
      </c>
      <c r="V36" s="37">
        <f t="shared" si="18"/>
        <v>30430751.751197968</v>
      </c>
      <c r="W36" s="37">
        <f t="shared" si="18"/>
        <v>35755939.688997462</v>
      </c>
      <c r="X36" s="37">
        <f t="shared" si="18"/>
        <v>41656174.611246824</v>
      </c>
      <c r="Y36" s="37">
        <f t="shared" si="18"/>
        <v>48271468.26405853</v>
      </c>
    </row>
    <row r="38" spans="1:25" x14ac:dyDescent="0.5">
      <c r="A38" s="14" t="s">
        <v>282</v>
      </c>
      <c r="B38" s="24">
        <f>22600000/B7</f>
        <v>171212.12121212122</v>
      </c>
      <c r="C38" s="24">
        <f>31540000/C7</f>
        <v>380000</v>
      </c>
      <c r="D38" s="24">
        <f>40200000/D7</f>
        <v>355752.21238938055</v>
      </c>
      <c r="E38" s="24">
        <f>26600000/E7</f>
        <v>380000</v>
      </c>
      <c r="F38" s="17">
        <v>300000</v>
      </c>
      <c r="G38" s="14">
        <f>F38</f>
        <v>300000</v>
      </c>
      <c r="H38" s="14">
        <f>G38</f>
        <v>300000</v>
      </c>
      <c r="I38" s="14">
        <f>H38</f>
        <v>300000</v>
      </c>
      <c r="J38" s="14">
        <f>I38</f>
        <v>300000</v>
      </c>
      <c r="K38" s="14">
        <f t="shared" ref="K38:Y38" si="19">J38</f>
        <v>300000</v>
      </c>
      <c r="L38" s="14">
        <f t="shared" si="19"/>
        <v>300000</v>
      </c>
      <c r="M38" s="14">
        <f t="shared" si="19"/>
        <v>300000</v>
      </c>
      <c r="N38" s="14">
        <f t="shared" si="19"/>
        <v>300000</v>
      </c>
      <c r="O38" s="14">
        <f t="shared" si="19"/>
        <v>300000</v>
      </c>
      <c r="P38" s="14">
        <f t="shared" si="19"/>
        <v>300000</v>
      </c>
      <c r="Q38" s="14">
        <f t="shared" si="19"/>
        <v>300000</v>
      </c>
      <c r="R38" s="14">
        <f t="shared" si="19"/>
        <v>300000</v>
      </c>
      <c r="S38" s="14">
        <f t="shared" si="19"/>
        <v>300000</v>
      </c>
      <c r="T38" s="14">
        <f t="shared" si="19"/>
        <v>300000</v>
      </c>
      <c r="U38" s="14">
        <f t="shared" si="19"/>
        <v>300000</v>
      </c>
      <c r="V38" s="14">
        <f t="shared" si="19"/>
        <v>300000</v>
      </c>
      <c r="W38" s="14">
        <f t="shared" si="19"/>
        <v>300000</v>
      </c>
      <c r="X38" s="14">
        <f t="shared" si="19"/>
        <v>300000</v>
      </c>
      <c r="Y38" s="14">
        <f t="shared" si="19"/>
        <v>300000</v>
      </c>
    </row>
    <row r="39" spans="1:25" x14ac:dyDescent="0.5">
      <c r="A39" s="14" t="s">
        <v>283</v>
      </c>
      <c r="B39" s="24">
        <f>6410000/B17</f>
        <v>305238.09523809527</v>
      </c>
      <c r="C39" s="24">
        <f>7600000/C17</f>
        <v>506666.66666666669</v>
      </c>
      <c r="D39" s="24">
        <f>8730000/D17</f>
        <v>281612.90322580643</v>
      </c>
      <c r="E39" s="24">
        <f>8590000/E17</f>
        <v>296206.89655172412</v>
      </c>
      <c r="F39" s="14">
        <f>C38</f>
        <v>380000</v>
      </c>
      <c r="G39" s="14">
        <f t="shared" ref="G39:H39" si="20">D38</f>
        <v>355752.21238938055</v>
      </c>
      <c r="H39" s="14">
        <f t="shared" si="20"/>
        <v>380000</v>
      </c>
      <c r="I39" s="14">
        <f>F38</f>
        <v>300000</v>
      </c>
      <c r="J39" s="14">
        <f>G38</f>
        <v>300000</v>
      </c>
      <c r="K39" s="14">
        <f t="shared" ref="K39:Y39" si="21">H38</f>
        <v>300000</v>
      </c>
      <c r="L39" s="14">
        <f t="shared" si="21"/>
        <v>300000</v>
      </c>
      <c r="M39" s="14">
        <f t="shared" si="21"/>
        <v>300000</v>
      </c>
      <c r="N39" s="14">
        <f t="shared" si="21"/>
        <v>300000</v>
      </c>
      <c r="O39" s="14">
        <f t="shared" si="21"/>
        <v>300000</v>
      </c>
      <c r="P39" s="14">
        <f t="shared" si="21"/>
        <v>300000</v>
      </c>
      <c r="Q39" s="14">
        <f t="shared" si="21"/>
        <v>300000</v>
      </c>
      <c r="R39" s="14">
        <f t="shared" si="21"/>
        <v>300000</v>
      </c>
      <c r="S39" s="14">
        <f t="shared" si="21"/>
        <v>300000</v>
      </c>
      <c r="T39" s="14">
        <f t="shared" si="21"/>
        <v>300000</v>
      </c>
      <c r="U39" s="14">
        <f t="shared" si="21"/>
        <v>300000</v>
      </c>
      <c r="V39" s="14">
        <f t="shared" si="21"/>
        <v>300000</v>
      </c>
      <c r="W39" s="14">
        <f t="shared" si="21"/>
        <v>300000</v>
      </c>
      <c r="X39" s="14">
        <f t="shared" si="21"/>
        <v>300000</v>
      </c>
      <c r="Y39" s="14">
        <f t="shared" si="21"/>
        <v>300000</v>
      </c>
    </row>
    <row r="40" spans="1:25" x14ac:dyDescent="0.5">
      <c r="A40" s="14" t="s">
        <v>139</v>
      </c>
      <c r="B40" s="30">
        <f>B34/B39</f>
        <v>1.7492642745709826E-2</v>
      </c>
      <c r="C40" s="30">
        <f t="shared" ref="C40:E40" si="22">C34/C39</f>
        <v>1.1605164473684209E-2</v>
      </c>
      <c r="D40" s="30">
        <f t="shared" si="22"/>
        <v>2.047863688430699E-2</v>
      </c>
      <c r="E40" s="30">
        <f t="shared" si="22"/>
        <v>1.7431612339930153E-2</v>
      </c>
      <c r="F40" s="32">
        <f>F34/F39</f>
        <v>1.4586556753329106E-2</v>
      </c>
      <c r="G40" s="32">
        <f t="shared" ref="G40:I40" si="23">G34/G39</f>
        <v>1.6453731343283581E-2</v>
      </c>
      <c r="H40" s="32">
        <f t="shared" si="23"/>
        <v>1.5798872180451128E-2</v>
      </c>
      <c r="I40" s="32">
        <f t="shared" si="23"/>
        <v>1.6666666666666666E-2</v>
      </c>
      <c r="J40" s="32">
        <f t="shared" ref="J40:Y40" si="24">J34/J39</f>
        <v>1.6666666666666666E-2</v>
      </c>
      <c r="K40" s="32">
        <f t="shared" si="24"/>
        <v>1.6666666666666666E-2</v>
      </c>
      <c r="L40" s="32">
        <f t="shared" si="24"/>
        <v>1.6666666666666666E-2</v>
      </c>
      <c r="M40" s="32">
        <f t="shared" si="24"/>
        <v>1.6666666666666666E-2</v>
      </c>
      <c r="N40" s="32">
        <f t="shared" si="24"/>
        <v>1.6666666666666666E-2</v>
      </c>
      <c r="O40" s="32">
        <f t="shared" si="24"/>
        <v>1.6666666666666666E-2</v>
      </c>
      <c r="P40" s="32">
        <f t="shared" si="24"/>
        <v>1.6666666666666666E-2</v>
      </c>
      <c r="Q40" s="32">
        <f t="shared" si="24"/>
        <v>1.6666666666666666E-2</v>
      </c>
      <c r="R40" s="32">
        <f t="shared" si="24"/>
        <v>1.6666666666666666E-2</v>
      </c>
      <c r="S40" s="32">
        <f t="shared" si="24"/>
        <v>1.6666666666666666E-2</v>
      </c>
      <c r="T40" s="32">
        <f t="shared" si="24"/>
        <v>1.6666666666666666E-2</v>
      </c>
      <c r="U40" s="32">
        <f t="shared" si="24"/>
        <v>1.6666666666666666E-2</v>
      </c>
      <c r="V40" s="32">
        <f t="shared" si="24"/>
        <v>1.6666666666666666E-2</v>
      </c>
      <c r="W40" s="32">
        <f t="shared" si="24"/>
        <v>1.6666666666666666E-2</v>
      </c>
      <c r="X40" s="32">
        <f t="shared" si="24"/>
        <v>1.6666666666666666E-2</v>
      </c>
      <c r="Y40" s="32">
        <f t="shared" si="24"/>
        <v>1.6666666666666666E-2</v>
      </c>
    </row>
    <row r="41" spans="1:25" x14ac:dyDescent="0.5">
      <c r="B41" s="24"/>
      <c r="C41" s="24"/>
      <c r="D41" s="24"/>
      <c r="E41" s="24"/>
    </row>
    <row r="42" spans="1:25" x14ac:dyDescent="0.5">
      <c r="A42" s="6" t="s">
        <v>270</v>
      </c>
      <c r="B42" s="21">
        <f>'P&amp;L-Q'!O47</f>
        <v>-86672.62</v>
      </c>
      <c r="C42" s="21">
        <f>'P&amp;L-Q'!P47</f>
        <v>-72232.5</v>
      </c>
      <c r="D42" s="21">
        <f>'P&amp;L-Q'!Q47</f>
        <v>-124762.5</v>
      </c>
      <c r="E42" s="21">
        <f>'P&amp;L-Q'!R47</f>
        <v>-96788</v>
      </c>
      <c r="F42" s="14">
        <f t="shared" ref="F42:Y42" si="25">F22*F43</f>
        <v>-92306.024096385547</v>
      </c>
      <c r="G42" s="14">
        <f t="shared" si="25"/>
        <v>-183662.12389380531</v>
      </c>
      <c r="H42" s="14">
        <f t="shared" si="25"/>
        <v>-142848.57142857142</v>
      </c>
      <c r="I42" s="14">
        <f t="shared" si="25"/>
        <v>-316000</v>
      </c>
      <c r="J42" s="14">
        <f t="shared" si="25"/>
        <v>-424000</v>
      </c>
      <c r="K42" s="14">
        <f t="shared" si="25"/>
        <v>-488000</v>
      </c>
      <c r="L42" s="14">
        <f t="shared" si="25"/>
        <v>-512000</v>
      </c>
      <c r="M42" s="14">
        <f t="shared" si="25"/>
        <v>-640000</v>
      </c>
      <c r="N42" s="14">
        <f t="shared" si="25"/>
        <v>-800000</v>
      </c>
      <c r="O42" s="14">
        <f t="shared" si="25"/>
        <v>-1004000</v>
      </c>
      <c r="P42" s="14">
        <f t="shared" si="25"/>
        <v>-3116000</v>
      </c>
      <c r="Q42" s="14">
        <f t="shared" si="25"/>
        <v>-5424000</v>
      </c>
      <c r="R42" s="14">
        <f t="shared" si="25"/>
        <v>-7800000</v>
      </c>
      <c r="S42" s="14">
        <f t="shared" si="25"/>
        <v>-10260000</v>
      </c>
      <c r="T42" s="14">
        <f t="shared" si="25"/>
        <v>-12828000</v>
      </c>
      <c r="U42" s="14">
        <f t="shared" si="25"/>
        <v>-15520000</v>
      </c>
      <c r="V42" s="14">
        <f t="shared" si="25"/>
        <v>-18384000</v>
      </c>
      <c r="W42" s="14">
        <f t="shared" si="25"/>
        <v>-21444000</v>
      </c>
      <c r="X42" s="14">
        <f t="shared" si="25"/>
        <v>-24764000</v>
      </c>
      <c r="Y42" s="14">
        <f t="shared" si="25"/>
        <v>-28400000</v>
      </c>
    </row>
    <row r="43" spans="1:25" x14ac:dyDescent="0.5">
      <c r="A43" s="14" t="s">
        <v>284</v>
      </c>
      <c r="B43" s="23">
        <f>B42/B22</f>
        <v>-4127.2676190476186</v>
      </c>
      <c r="C43" s="23">
        <f>C42/C22</f>
        <v>-4815.5</v>
      </c>
      <c r="D43" s="23">
        <f>D42/D22</f>
        <v>-4024.5967741935483</v>
      </c>
      <c r="E43" s="23">
        <f>E42/E22</f>
        <v>-3871.52</v>
      </c>
      <c r="F43" s="14">
        <f>-255380/C7</f>
        <v>-3076.867469879518</v>
      </c>
      <c r="G43" s="14">
        <f>-451170/D7</f>
        <v>-3992.6548672566373</v>
      </c>
      <c r="H43" s="14">
        <f>-294100/E7</f>
        <v>-4201.4285714285716</v>
      </c>
      <c r="I43" s="14">
        <v>-4000</v>
      </c>
      <c r="J43" s="14">
        <v>-4000</v>
      </c>
      <c r="K43" s="14">
        <v>-4000</v>
      </c>
      <c r="L43" s="14">
        <v>-4000</v>
      </c>
      <c r="M43" s="14">
        <v>-4000</v>
      </c>
      <c r="N43" s="14">
        <v>-4000</v>
      </c>
      <c r="O43" s="14">
        <v>-4000</v>
      </c>
      <c r="P43" s="14">
        <v>-4000</v>
      </c>
      <c r="Q43" s="14">
        <v>-4000</v>
      </c>
      <c r="R43" s="14">
        <v>-4000</v>
      </c>
      <c r="S43" s="14">
        <v>-4000</v>
      </c>
      <c r="T43" s="14">
        <v>-4000</v>
      </c>
      <c r="U43" s="14">
        <v>-4000</v>
      </c>
      <c r="V43" s="14">
        <v>-4000</v>
      </c>
      <c r="W43" s="14">
        <v>-4000</v>
      </c>
      <c r="X43" s="14">
        <v>-4000</v>
      </c>
      <c r="Y43" s="14">
        <v>-4000</v>
      </c>
    </row>
    <row r="45" spans="1:25" x14ac:dyDescent="0.5">
      <c r="A45" s="14" t="s">
        <v>285</v>
      </c>
      <c r="B45" s="23">
        <f t="shared" ref="B45:Y45" si="26">B47/B17</f>
        <v>1212.1533333333334</v>
      </c>
      <c r="C45" s="23">
        <f t="shared" si="26"/>
        <v>1064.45</v>
      </c>
      <c r="D45" s="23">
        <f t="shared" si="26"/>
        <v>1742.4516129032259</v>
      </c>
      <c r="E45" s="23">
        <f t="shared" si="26"/>
        <v>1825.8465517241375</v>
      </c>
      <c r="F45" s="14">
        <f t="shared" si="26"/>
        <v>2745.7393209200441</v>
      </c>
      <c r="G45" s="14">
        <f t="shared" si="26"/>
        <v>2631.3088029809041</v>
      </c>
      <c r="H45" s="14">
        <f t="shared" si="26"/>
        <v>2602.4149659863947</v>
      </c>
      <c r="I45" s="14">
        <f t="shared" si="26"/>
        <v>1808.0808080808081</v>
      </c>
      <c r="J45" s="14">
        <f t="shared" si="26"/>
        <v>1812.0300751879699</v>
      </c>
      <c r="K45" s="14">
        <f t="shared" si="26"/>
        <v>1789.4736842105262</v>
      </c>
      <c r="L45" s="14">
        <f t="shared" si="26"/>
        <v>2202.1857923497269</v>
      </c>
      <c r="M45" s="14">
        <f t="shared" si="26"/>
        <v>2205.240174672489</v>
      </c>
      <c r="N45" s="14">
        <f t="shared" si="26"/>
        <v>2202.7972027972028</v>
      </c>
      <c r="O45" s="14">
        <f t="shared" si="26"/>
        <v>2195.5307262569831</v>
      </c>
      <c r="P45" s="14">
        <f t="shared" si="26"/>
        <v>3128.985507246377</v>
      </c>
      <c r="Q45" s="14">
        <f t="shared" si="26"/>
        <v>3297.6076555023924</v>
      </c>
      <c r="R45" s="14">
        <f t="shared" si="26"/>
        <v>3367.2039243167483</v>
      </c>
      <c r="S45" s="14">
        <f t="shared" si="26"/>
        <v>3390.2439024390242</v>
      </c>
      <c r="T45" s="14">
        <f t="shared" si="26"/>
        <v>3389.8525585429315</v>
      </c>
      <c r="U45" s="14">
        <f t="shared" si="26"/>
        <v>3375.2657689581856</v>
      </c>
      <c r="V45" s="14">
        <f t="shared" si="26"/>
        <v>3348.796241926013</v>
      </c>
      <c r="W45" s="14">
        <f t="shared" si="26"/>
        <v>3315.5828220858893</v>
      </c>
      <c r="X45" s="14">
        <f t="shared" si="26"/>
        <v>3276.4948453608249</v>
      </c>
      <c r="Y45" s="14">
        <f t="shared" si="26"/>
        <v>3233.2002083695088</v>
      </c>
    </row>
    <row r="46" spans="1:25" x14ac:dyDescent="0.5">
      <c r="A46" s="14" t="s">
        <v>286</v>
      </c>
      <c r="B46" s="22">
        <f t="shared" ref="B46:Y46" si="27">B47/B33</f>
        <v>0.22701962331567255</v>
      </c>
      <c r="C46" s="22">
        <f t="shared" si="27"/>
        <v>0.18103045093920866</v>
      </c>
      <c r="D46" s="22">
        <f t="shared" si="27"/>
        <v>0.30213923933806358</v>
      </c>
      <c r="E46" s="22">
        <f t="shared" si="27"/>
        <v>0.35361570961993161</v>
      </c>
      <c r="F46" s="19">
        <f t="shared" si="27"/>
        <v>0.49536226500100777</v>
      </c>
      <c r="G46" s="19">
        <f t="shared" si="27"/>
        <v>0.449531166450233</v>
      </c>
      <c r="H46" s="19">
        <f t="shared" si="27"/>
        <v>0.43347780516132689</v>
      </c>
      <c r="I46" s="19">
        <f t="shared" si="27"/>
        <v>0.36161616161616161</v>
      </c>
      <c r="J46" s="19">
        <f t="shared" si="27"/>
        <v>0.36240601503759401</v>
      </c>
      <c r="K46" s="19">
        <f t="shared" si="27"/>
        <v>0.35789473684210527</v>
      </c>
      <c r="L46" s="19">
        <f t="shared" si="27"/>
        <v>0.44043715846994536</v>
      </c>
      <c r="M46" s="19">
        <f t="shared" si="27"/>
        <v>0.44104803493449779</v>
      </c>
      <c r="N46" s="19">
        <f t="shared" si="27"/>
        <v>0.44055944055944057</v>
      </c>
      <c r="O46" s="19">
        <f t="shared" si="27"/>
        <v>0.43910614525139663</v>
      </c>
      <c r="P46" s="19">
        <f t="shared" si="27"/>
        <v>0.40928909952606635</v>
      </c>
      <c r="Q46" s="19">
        <f t="shared" si="27"/>
        <v>0.38850056369785796</v>
      </c>
      <c r="R46" s="19">
        <f t="shared" si="27"/>
        <v>0.38119793732645774</v>
      </c>
      <c r="S46" s="19">
        <f t="shared" si="27"/>
        <v>0.37874659400544958</v>
      </c>
      <c r="T46" s="19">
        <f t="shared" si="27"/>
        <v>0.37863889561637198</v>
      </c>
      <c r="U46" s="19">
        <f t="shared" si="27"/>
        <v>0.38031543222200043</v>
      </c>
      <c r="V46" s="19">
        <f t="shared" si="27"/>
        <v>0.38288016112789525</v>
      </c>
      <c r="W46" s="19">
        <f t="shared" si="27"/>
        <v>0.38652553282792163</v>
      </c>
      <c r="X46" s="19">
        <f t="shared" si="27"/>
        <v>0.39087443118927562</v>
      </c>
      <c r="Y46" s="19">
        <f t="shared" si="27"/>
        <v>0.39600170140365804</v>
      </c>
    </row>
    <row r="47" spans="1:25" x14ac:dyDescent="0.5">
      <c r="A47" s="14" t="s">
        <v>287</v>
      </c>
      <c r="B47" s="23">
        <f t="shared" ref="B47:Y47" si="28">B33+B42</f>
        <v>25455.22</v>
      </c>
      <c r="C47" s="23">
        <f t="shared" si="28"/>
        <v>15966.75</v>
      </c>
      <c r="D47" s="23">
        <f t="shared" si="28"/>
        <v>54016</v>
      </c>
      <c r="E47" s="23">
        <f t="shared" si="28"/>
        <v>52949.549999999988</v>
      </c>
      <c r="F47" s="14">
        <f t="shared" si="28"/>
        <v>90609.397590361448</v>
      </c>
      <c r="G47" s="14">
        <f t="shared" si="28"/>
        <v>149984.60176991153</v>
      </c>
      <c r="H47" s="14">
        <f t="shared" si="28"/>
        <v>109301.42857142858</v>
      </c>
      <c r="I47" s="14">
        <f t="shared" si="28"/>
        <v>179000</v>
      </c>
      <c r="J47" s="14">
        <f t="shared" si="28"/>
        <v>241000</v>
      </c>
      <c r="K47" s="14">
        <f t="shared" si="28"/>
        <v>272000</v>
      </c>
      <c r="L47" s="14">
        <f t="shared" si="28"/>
        <v>403000</v>
      </c>
      <c r="M47" s="14">
        <f t="shared" si="28"/>
        <v>505000</v>
      </c>
      <c r="N47" s="14">
        <f t="shared" si="28"/>
        <v>630000</v>
      </c>
      <c r="O47" s="14">
        <f t="shared" si="28"/>
        <v>786000</v>
      </c>
      <c r="P47" s="14">
        <f t="shared" si="28"/>
        <v>2159000</v>
      </c>
      <c r="Q47" s="14">
        <f t="shared" si="28"/>
        <v>3446000</v>
      </c>
      <c r="R47" s="14">
        <f t="shared" si="28"/>
        <v>4805000</v>
      </c>
      <c r="S47" s="14">
        <f t="shared" si="28"/>
        <v>6255000</v>
      </c>
      <c r="T47" s="14">
        <f t="shared" si="28"/>
        <v>7817000</v>
      </c>
      <c r="U47" s="14">
        <f t="shared" si="28"/>
        <v>9525000</v>
      </c>
      <c r="V47" s="14">
        <f t="shared" si="28"/>
        <v>11406000</v>
      </c>
      <c r="W47" s="14">
        <f t="shared" si="28"/>
        <v>13511000</v>
      </c>
      <c r="X47" s="14">
        <f t="shared" si="28"/>
        <v>15891000</v>
      </c>
      <c r="Y47" s="14">
        <f t="shared" si="28"/>
        <v>18620000</v>
      </c>
    </row>
    <row r="49" spans="1:25" s="37" customFormat="1" x14ac:dyDescent="0.5">
      <c r="A49" s="37" t="s">
        <v>288</v>
      </c>
      <c r="B49" s="38">
        <f t="shared" ref="B49:D49" si="29">B47+B30+B31</f>
        <v>25455.22</v>
      </c>
      <c r="C49" s="38">
        <f t="shared" si="29"/>
        <v>15966.75</v>
      </c>
      <c r="D49" s="38">
        <f t="shared" si="29"/>
        <v>54016</v>
      </c>
      <c r="E49" s="38">
        <f>E47+E30+E31</f>
        <v>52949.549999999988</v>
      </c>
      <c r="F49" s="37">
        <f>F47+F30+F31</f>
        <v>118109.39759036145</v>
      </c>
      <c r="G49" s="37">
        <f t="shared" ref="G49:Y49" si="30">G47+G30+G31</f>
        <v>186829.10176991153</v>
      </c>
      <c r="H49" s="37">
        <f t="shared" si="30"/>
        <v>151672.6035714286</v>
      </c>
      <c r="I49" s="37">
        <f t="shared" si="30"/>
        <v>213345.41</v>
      </c>
      <c r="J49" s="37">
        <f t="shared" si="30"/>
        <v>282450.0625</v>
      </c>
      <c r="K49" s="37">
        <f t="shared" si="30"/>
        <v>326023.24812499998</v>
      </c>
      <c r="L49" s="37">
        <f t="shared" si="30"/>
        <v>471800.19540625002</v>
      </c>
      <c r="M49" s="37">
        <f t="shared" si="30"/>
        <v>591000.2442578125</v>
      </c>
      <c r="N49" s="37">
        <f t="shared" si="30"/>
        <v>737500.3053222656</v>
      </c>
      <c r="O49" s="37">
        <f t="shared" si="30"/>
        <v>920375.38165283203</v>
      </c>
      <c r="P49" s="37">
        <f t="shared" si="30"/>
        <v>2326969.22706604</v>
      </c>
      <c r="Q49" s="37">
        <f t="shared" si="30"/>
        <v>3655961.53383255</v>
      </c>
      <c r="R49" s="37">
        <f t="shared" si="30"/>
        <v>5067451.9172906876</v>
      </c>
      <c r="S49" s="37">
        <f t="shared" si="30"/>
        <v>6583064.8966133595</v>
      </c>
      <c r="T49" s="37">
        <f t="shared" si="30"/>
        <v>8227081.1207666993</v>
      </c>
      <c r="U49" s="37">
        <f t="shared" si="30"/>
        <v>10037601.400958374</v>
      </c>
      <c r="V49" s="37">
        <f t="shared" si="30"/>
        <v>12046751.751197968</v>
      </c>
      <c r="W49" s="37">
        <f t="shared" si="30"/>
        <v>14311939.688997461</v>
      </c>
      <c r="X49" s="37">
        <f t="shared" si="30"/>
        <v>16892174.611246824</v>
      </c>
      <c r="Y49" s="37">
        <f t="shared" si="30"/>
        <v>19871468.26405853</v>
      </c>
    </row>
    <row r="51" spans="1:25" x14ac:dyDescent="0.5">
      <c r="A51" s="14" t="s">
        <v>151</v>
      </c>
      <c r="B51" s="21">
        <f>'P&amp;L-Q'!O10</f>
        <v>4.2</v>
      </c>
      <c r="C51" s="21">
        <f>'P&amp;L-Q'!P10</f>
        <v>15.7</v>
      </c>
      <c r="D51" s="21">
        <f>'P&amp;L-Q'!Q10</f>
        <v>109.5</v>
      </c>
      <c r="E51" s="21">
        <f>'P&amp;L-Q'!R10</f>
        <v>273.72000000000003</v>
      </c>
    </row>
    <row r="53" spans="1:25" x14ac:dyDescent="0.5">
      <c r="A53" s="31" t="s">
        <v>149</v>
      </c>
    </row>
    <row r="54" spans="1:25" x14ac:dyDescent="0.5">
      <c r="A54" s="14" t="s">
        <v>289</v>
      </c>
      <c r="F54" s="18">
        <v>0.25</v>
      </c>
      <c r="G54" s="19">
        <f>F54</f>
        <v>0.25</v>
      </c>
      <c r="H54" s="19">
        <f t="shared" ref="H54:Y54" si="31">G54</f>
        <v>0.25</v>
      </c>
      <c r="I54" s="19">
        <f t="shared" si="31"/>
        <v>0.25</v>
      </c>
      <c r="J54" s="19">
        <f t="shared" si="31"/>
        <v>0.25</v>
      </c>
      <c r="K54" s="19">
        <f t="shared" si="31"/>
        <v>0.25</v>
      </c>
      <c r="L54" s="19">
        <f t="shared" si="31"/>
        <v>0.25</v>
      </c>
      <c r="M54" s="19">
        <f t="shared" si="31"/>
        <v>0.25</v>
      </c>
      <c r="N54" s="19">
        <f t="shared" si="31"/>
        <v>0.25</v>
      </c>
      <c r="O54" s="19">
        <f t="shared" si="31"/>
        <v>0.25</v>
      </c>
      <c r="P54" s="19">
        <f t="shared" si="31"/>
        <v>0.25</v>
      </c>
      <c r="Q54" s="19">
        <f t="shared" si="31"/>
        <v>0.25</v>
      </c>
      <c r="R54" s="19">
        <f t="shared" si="31"/>
        <v>0.25</v>
      </c>
      <c r="S54" s="19">
        <f t="shared" si="31"/>
        <v>0.25</v>
      </c>
      <c r="T54" s="19">
        <f t="shared" si="31"/>
        <v>0.25</v>
      </c>
      <c r="U54" s="19">
        <f t="shared" si="31"/>
        <v>0.25</v>
      </c>
      <c r="V54" s="19">
        <f t="shared" si="31"/>
        <v>0.25</v>
      </c>
      <c r="W54" s="19">
        <f t="shared" si="31"/>
        <v>0.25</v>
      </c>
      <c r="X54" s="19">
        <f t="shared" si="31"/>
        <v>0.25</v>
      </c>
      <c r="Y54" s="19">
        <f t="shared" si="31"/>
        <v>0.25</v>
      </c>
    </row>
    <row r="55" spans="1:25" x14ac:dyDescent="0.5">
      <c r="A55" s="14" t="s">
        <v>294</v>
      </c>
      <c r="F55" s="14">
        <v>125</v>
      </c>
      <c r="G55" s="14">
        <v>125</v>
      </c>
      <c r="H55" s="14">
        <v>125</v>
      </c>
      <c r="I55" s="14">
        <v>125</v>
      </c>
      <c r="J55" s="14">
        <v>125</v>
      </c>
      <c r="K55" s="14">
        <v>125</v>
      </c>
      <c r="L55" s="14">
        <v>125</v>
      </c>
      <c r="M55" s="14">
        <v>125</v>
      </c>
      <c r="N55" s="14">
        <v>125</v>
      </c>
      <c r="O55" s="14">
        <v>125</v>
      </c>
      <c r="P55" s="14">
        <v>125</v>
      </c>
      <c r="Q55" s="14">
        <v>125</v>
      </c>
      <c r="R55" s="14">
        <v>125</v>
      </c>
      <c r="S55" s="14">
        <v>125</v>
      </c>
      <c r="T55" s="14">
        <v>125</v>
      </c>
      <c r="U55" s="14">
        <v>125</v>
      </c>
      <c r="V55" s="14">
        <v>125</v>
      </c>
      <c r="W55" s="14">
        <v>125</v>
      </c>
      <c r="X55" s="14">
        <v>125</v>
      </c>
      <c r="Y55" s="14">
        <v>125</v>
      </c>
    </row>
    <row r="56" spans="1:25" x14ac:dyDescent="0.5">
      <c r="A56" s="14" t="s">
        <v>291</v>
      </c>
      <c r="F56" s="14">
        <f t="shared" ref="F56:Y56" si="32">F55*F54*F9</f>
        <v>5156.25</v>
      </c>
      <c r="G56" s="14">
        <f t="shared" si="32"/>
        <v>6906.25</v>
      </c>
      <c r="H56" s="14">
        <f t="shared" si="32"/>
        <v>7937.5</v>
      </c>
      <c r="I56" s="14">
        <f t="shared" si="32"/>
        <v>9531.25</v>
      </c>
      <c r="J56" s="14">
        <f t="shared" si="32"/>
        <v>11906.25</v>
      </c>
      <c r="K56" s="14">
        <f t="shared" si="32"/>
        <v>14906.25</v>
      </c>
      <c r="L56" s="14">
        <f t="shared" si="32"/>
        <v>18625</v>
      </c>
      <c r="M56" s="14">
        <f t="shared" si="32"/>
        <v>35937.5</v>
      </c>
      <c r="N56" s="14">
        <f t="shared" si="32"/>
        <v>54406.25</v>
      </c>
      <c r="O56" s="14">
        <f t="shared" si="32"/>
        <v>74343.75</v>
      </c>
      <c r="P56" s="14">
        <f t="shared" si="32"/>
        <v>96093.75</v>
      </c>
      <c r="Q56" s="14">
        <f t="shared" si="32"/>
        <v>120093.75</v>
      </c>
      <c r="R56" s="14">
        <f t="shared" si="32"/>
        <v>146968.75</v>
      </c>
      <c r="S56" s="14">
        <f t="shared" si="32"/>
        <v>177375</v>
      </c>
      <c r="T56" s="14">
        <f t="shared" si="32"/>
        <v>212250</v>
      </c>
      <c r="U56" s="14">
        <f t="shared" si="32"/>
        <v>252625</v>
      </c>
      <c r="V56" s="14">
        <f t="shared" si="32"/>
        <v>299968.75</v>
      </c>
      <c r="W56" s="14">
        <f t="shared" si="32"/>
        <v>356000</v>
      </c>
      <c r="X56" s="14">
        <f t="shared" si="32"/>
        <v>422843.75</v>
      </c>
      <c r="Y56" s="14">
        <f t="shared" si="32"/>
        <v>503218.75</v>
      </c>
    </row>
    <row r="57" spans="1:25" x14ac:dyDescent="0.5">
      <c r="A57" s="14" t="s">
        <v>292</v>
      </c>
      <c r="F57" s="16">
        <f>Marketing!F48</f>
        <v>0</v>
      </c>
      <c r="G57" s="16">
        <f>Marketing!G48</f>
        <v>0</v>
      </c>
      <c r="H57" s="16">
        <f>Marketing!H48</f>
        <v>0</v>
      </c>
      <c r="I57" s="16">
        <f>Marketing!I48</f>
        <v>0</v>
      </c>
      <c r="J57" s="16">
        <f>Marketing!J48</f>
        <v>0</v>
      </c>
      <c r="K57" s="16">
        <f>Marketing!K48</f>
        <v>0</v>
      </c>
      <c r="L57" s="16">
        <f>Marketing!L48</f>
        <v>0</v>
      </c>
      <c r="M57" s="16">
        <f>Marketing!M48</f>
        <v>421795.58823529416</v>
      </c>
      <c r="N57" s="16">
        <f>Marketing!N48</f>
        <v>843591.17647058831</v>
      </c>
      <c r="O57" s="16">
        <f>Marketing!O48</f>
        <v>1265386.7647058824</v>
      </c>
      <c r="P57" s="16">
        <f>Marketing!P48</f>
        <v>1687182.3529411766</v>
      </c>
      <c r="Q57" s="16">
        <f>Marketing!Q48</f>
        <v>2108977.9411764708</v>
      </c>
      <c r="R57" s="16">
        <f>Marketing!R48</f>
        <v>2530773.5294117648</v>
      </c>
      <c r="S57" s="16">
        <f>Marketing!S48</f>
        <v>2952569.1176470588</v>
      </c>
      <c r="T57" s="16">
        <f>Marketing!T48</f>
        <v>3374364.7058823532</v>
      </c>
      <c r="U57" s="16">
        <f>Marketing!U48</f>
        <v>3796160.2941176472</v>
      </c>
      <c r="V57" s="16">
        <f>Marketing!V48</f>
        <v>4217955.8823529417</v>
      </c>
      <c r="W57" s="16">
        <f>Marketing!W48</f>
        <v>4639751.4705882352</v>
      </c>
      <c r="X57" s="16">
        <f>Marketing!X48</f>
        <v>5061547.0588235296</v>
      </c>
      <c r="Y57" s="16">
        <f>Marketing!Y48</f>
        <v>5483342.6470588241</v>
      </c>
    </row>
    <row r="58" spans="1:25" x14ac:dyDescent="0.5">
      <c r="A58" s="14" t="s">
        <v>293</v>
      </c>
      <c r="F58" s="16">
        <f>'Extra services'!F33</f>
        <v>0</v>
      </c>
      <c r="G58" s="16">
        <f>'Extra services'!G33</f>
        <v>0</v>
      </c>
      <c r="H58" s="16">
        <f>'Extra services'!H33</f>
        <v>0</v>
      </c>
      <c r="I58" s="16">
        <f>'Extra services'!I33</f>
        <v>0</v>
      </c>
      <c r="J58" s="16">
        <f>'Extra services'!J33</f>
        <v>17550</v>
      </c>
      <c r="K58" s="16">
        <f>'Extra services'!K33</f>
        <v>19500</v>
      </c>
      <c r="L58" s="16">
        <f>'Extra services'!L33</f>
        <v>24050</v>
      </c>
      <c r="M58" s="16">
        <f>'Extra services'!M33</f>
        <v>29900</v>
      </c>
      <c r="N58" s="16">
        <f>'Extra services'!N33</f>
        <v>37050</v>
      </c>
      <c r="O58" s="16">
        <f>'Extra services'!O33</f>
        <v>46800</v>
      </c>
      <c r="P58" s="16">
        <f>'Extra services'!P33</f>
        <v>137150</v>
      </c>
      <c r="Q58" s="16">
        <f>'Extra services'!Q33</f>
        <v>230750</v>
      </c>
      <c r="R58" s="16">
        <f>'Extra services'!R33</f>
        <v>327600</v>
      </c>
      <c r="S58" s="16">
        <f>'Extra services'!S33</f>
        <v>429650</v>
      </c>
      <c r="T58" s="16">
        <f>'Extra services'!T33</f>
        <v>536900</v>
      </c>
      <c r="U58" s="16">
        <f>'Extra services'!U33</f>
        <v>651300</v>
      </c>
      <c r="V58" s="16">
        <f>'Extra services'!V33</f>
        <v>774800</v>
      </c>
      <c r="W58" s="16">
        <f>'Extra services'!W33</f>
        <v>908700</v>
      </c>
      <c r="X58" s="16">
        <f>'Extra services'!X33</f>
        <v>1056900</v>
      </c>
      <c r="Y58" s="16">
        <f>'Extra services'!Y33</f>
        <v>1222650</v>
      </c>
    </row>
    <row r="59" spans="1:25" x14ac:dyDescent="0.5">
      <c r="A59" s="14" t="s">
        <v>146</v>
      </c>
      <c r="B59" s="21">
        <f>'P&amp;L-Q'!O9</f>
        <v>8451.7800000000007</v>
      </c>
      <c r="C59" s="21">
        <f>'P&amp;L-Q'!P9</f>
        <v>5223.0600000000004</v>
      </c>
      <c r="D59" s="21">
        <f>'P&amp;L-Q'!Q9</f>
        <v>10010.5</v>
      </c>
      <c r="E59" s="21">
        <f>'P&amp;L-Q'!R9</f>
        <v>9421.9500000000007</v>
      </c>
      <c r="F59" s="14">
        <f>SUM(F56:F58)</f>
        <v>5156.25</v>
      </c>
      <c r="G59" s="14">
        <f t="shared" ref="G59:Y59" si="33">SUM(G56:G58)</f>
        <v>6906.25</v>
      </c>
      <c r="H59" s="14">
        <f t="shared" si="33"/>
        <v>7937.5</v>
      </c>
      <c r="I59" s="14">
        <f t="shared" si="33"/>
        <v>9531.25</v>
      </c>
      <c r="J59" s="14">
        <f t="shared" si="33"/>
        <v>29456.25</v>
      </c>
      <c r="K59" s="14">
        <f t="shared" si="33"/>
        <v>34406.25</v>
      </c>
      <c r="L59" s="14">
        <f t="shared" si="33"/>
        <v>42675</v>
      </c>
      <c r="M59" s="14">
        <f t="shared" si="33"/>
        <v>487633.08823529416</v>
      </c>
      <c r="N59" s="14">
        <f t="shared" si="33"/>
        <v>935047.42647058831</v>
      </c>
      <c r="O59" s="14">
        <f t="shared" si="33"/>
        <v>1386530.5147058824</v>
      </c>
      <c r="P59" s="14">
        <f t="shared" si="33"/>
        <v>1920426.1029411766</v>
      </c>
      <c r="Q59" s="14">
        <f t="shared" si="33"/>
        <v>2459821.6911764708</v>
      </c>
      <c r="R59" s="14">
        <f t="shared" si="33"/>
        <v>3005342.2794117648</v>
      </c>
      <c r="S59" s="14">
        <f t="shared" si="33"/>
        <v>3559594.1176470588</v>
      </c>
      <c r="T59" s="14">
        <f t="shared" si="33"/>
        <v>4123514.7058823532</v>
      </c>
      <c r="U59" s="14">
        <f t="shared" si="33"/>
        <v>4700085.2941176472</v>
      </c>
      <c r="V59" s="14">
        <f t="shared" si="33"/>
        <v>5292724.6323529417</v>
      </c>
      <c r="W59" s="14">
        <f t="shared" si="33"/>
        <v>5904451.4705882352</v>
      </c>
      <c r="X59" s="14">
        <f t="shared" si="33"/>
        <v>6541290.8088235296</v>
      </c>
      <c r="Y59" s="14">
        <f t="shared" si="33"/>
        <v>7209211.3970588241</v>
      </c>
    </row>
    <row r="60" spans="1:25" x14ac:dyDescent="0.5">
      <c r="A60" s="31"/>
    </row>
    <row r="61" spans="1:25" x14ac:dyDescent="0.5">
      <c r="A61" s="31" t="s">
        <v>140</v>
      </c>
    </row>
    <row r="62" spans="1:25" x14ac:dyDescent="0.5">
      <c r="A62" s="14" t="s">
        <v>290</v>
      </c>
      <c r="B62" s="21">
        <f>-'P&amp;L-Q'!O15</f>
        <v>-2965</v>
      </c>
      <c r="C62" s="21">
        <f>-'P&amp;L-Q'!P15</f>
        <v>-4334.49</v>
      </c>
      <c r="D62" s="21">
        <f>-'P&amp;L-Q'!Q15</f>
        <v>-8468.93</v>
      </c>
      <c r="E62" s="21">
        <f>-'P&amp;L-Q'!R15</f>
        <v>-8510</v>
      </c>
      <c r="F62" s="14">
        <f t="shared" ref="F62:Y62" si="34">F63*F9</f>
        <v>-15675</v>
      </c>
      <c r="G62" s="14">
        <f t="shared" si="34"/>
        <v>-20995</v>
      </c>
      <c r="H62" s="14">
        <f t="shared" si="34"/>
        <v>-24130</v>
      </c>
      <c r="I62" s="14">
        <f t="shared" si="34"/>
        <v>-28975</v>
      </c>
      <c r="J62" s="14">
        <f t="shared" si="34"/>
        <v>-36195</v>
      </c>
      <c r="K62" s="14">
        <f t="shared" si="34"/>
        <v>-45315</v>
      </c>
      <c r="L62" s="14">
        <f t="shared" si="34"/>
        <v>-56620</v>
      </c>
      <c r="M62" s="14">
        <f t="shared" si="34"/>
        <v>-109250</v>
      </c>
      <c r="N62" s="14">
        <f t="shared" si="34"/>
        <v>-165395</v>
      </c>
      <c r="O62" s="14">
        <f t="shared" si="34"/>
        <v>-226005</v>
      </c>
      <c r="P62" s="14">
        <f t="shared" si="34"/>
        <v>-292125</v>
      </c>
      <c r="Q62" s="14">
        <f t="shared" si="34"/>
        <v>-365085</v>
      </c>
      <c r="R62" s="14">
        <f t="shared" si="34"/>
        <v>-446785</v>
      </c>
      <c r="S62" s="14">
        <f t="shared" si="34"/>
        <v>-539220</v>
      </c>
      <c r="T62" s="14">
        <f t="shared" si="34"/>
        <v>-645240</v>
      </c>
      <c r="U62" s="14">
        <f t="shared" si="34"/>
        <v>-767980</v>
      </c>
      <c r="V62" s="14">
        <f t="shared" si="34"/>
        <v>-911905</v>
      </c>
      <c r="W62" s="14">
        <f t="shared" si="34"/>
        <v>-1082240</v>
      </c>
      <c r="X62" s="14">
        <f t="shared" si="34"/>
        <v>-1285445</v>
      </c>
      <c r="Y62" s="14">
        <f t="shared" si="34"/>
        <v>-1529785</v>
      </c>
    </row>
    <row r="63" spans="1:25" x14ac:dyDescent="0.5">
      <c r="A63" s="14" t="s">
        <v>295</v>
      </c>
      <c r="B63" s="23">
        <f>B62/B7</f>
        <v>-22.462121212121211</v>
      </c>
      <c r="C63" s="23">
        <f>C62/C7</f>
        <v>-52.222771084337346</v>
      </c>
      <c r="D63" s="23">
        <f>D62/D7</f>
        <v>-74.946283185840713</v>
      </c>
      <c r="E63" s="23">
        <f>E62/E7</f>
        <v>-121.57142857142857</v>
      </c>
      <c r="F63" s="17">
        <v>-95</v>
      </c>
      <c r="G63" s="14">
        <f>F63</f>
        <v>-95</v>
      </c>
      <c r="H63" s="14">
        <f t="shared" ref="H63:Y63" si="35">G63</f>
        <v>-95</v>
      </c>
      <c r="I63" s="14">
        <f t="shared" si="35"/>
        <v>-95</v>
      </c>
      <c r="J63" s="14">
        <f t="shared" si="35"/>
        <v>-95</v>
      </c>
      <c r="K63" s="14">
        <f t="shared" si="35"/>
        <v>-95</v>
      </c>
      <c r="L63" s="14">
        <f t="shared" si="35"/>
        <v>-95</v>
      </c>
      <c r="M63" s="14">
        <f t="shared" si="35"/>
        <v>-95</v>
      </c>
      <c r="N63" s="14">
        <f t="shared" si="35"/>
        <v>-95</v>
      </c>
      <c r="O63" s="14">
        <f t="shared" si="35"/>
        <v>-95</v>
      </c>
      <c r="P63" s="14">
        <f t="shared" si="35"/>
        <v>-95</v>
      </c>
      <c r="Q63" s="14">
        <f t="shared" si="35"/>
        <v>-95</v>
      </c>
      <c r="R63" s="14">
        <f t="shared" si="35"/>
        <v>-95</v>
      </c>
      <c r="S63" s="14">
        <f t="shared" si="35"/>
        <v>-95</v>
      </c>
      <c r="T63" s="14">
        <f t="shared" si="35"/>
        <v>-95</v>
      </c>
      <c r="U63" s="14">
        <f t="shared" si="35"/>
        <v>-95</v>
      </c>
      <c r="V63" s="14">
        <f t="shared" si="35"/>
        <v>-95</v>
      </c>
      <c r="W63" s="14">
        <f t="shared" si="35"/>
        <v>-95</v>
      </c>
      <c r="X63" s="14">
        <f t="shared" si="35"/>
        <v>-95</v>
      </c>
      <c r="Y63" s="14">
        <f t="shared" si="35"/>
        <v>-95</v>
      </c>
    </row>
    <row r="64" spans="1:25" x14ac:dyDescent="0.5">
      <c r="A64" s="14" t="s">
        <v>296</v>
      </c>
      <c r="B64" s="21">
        <f>-'P&amp;L-Q'!O17</f>
        <v>-5838.33</v>
      </c>
      <c r="C64" s="21">
        <f>-'P&amp;L-Q'!P17</f>
        <v>-3707.2</v>
      </c>
      <c r="D64" s="21">
        <f>-'P&amp;L-Q'!Q17</f>
        <v>-8670.73</v>
      </c>
      <c r="E64" s="21">
        <f>-'P&amp;L-Q'!R17</f>
        <v>-7214.02</v>
      </c>
      <c r="F64" s="16">
        <f>-Marketing!F49</f>
        <v>0</v>
      </c>
      <c r="G64" s="16">
        <f>-Marketing!G49</f>
        <v>0</v>
      </c>
      <c r="H64" s="16">
        <f>-Marketing!H49</f>
        <v>0</v>
      </c>
      <c r="I64" s="16">
        <f>-Marketing!I49</f>
        <v>0</v>
      </c>
      <c r="J64" s="16">
        <f>-Marketing!J49</f>
        <v>0</v>
      </c>
      <c r="K64" s="16">
        <f>-Marketing!K49</f>
        <v>0</v>
      </c>
      <c r="L64" s="16">
        <f>-Marketing!L49</f>
        <v>0</v>
      </c>
      <c r="M64" s="16">
        <f>-Marketing!M49</f>
        <v>-329741.4705882353</v>
      </c>
      <c r="N64" s="16">
        <f>-Marketing!N49</f>
        <v>-659482.9411764706</v>
      </c>
      <c r="O64" s="16">
        <f>-Marketing!O49</f>
        <v>-989224.41176470579</v>
      </c>
      <c r="P64" s="16">
        <f>-Marketing!P49</f>
        <v>-1318965.8823529412</v>
      </c>
      <c r="Q64" s="16">
        <f>-Marketing!Q49</f>
        <v>-1648707.3529411764</v>
      </c>
      <c r="R64" s="16">
        <f>-Marketing!R49</f>
        <v>-1978448.8235294116</v>
      </c>
      <c r="S64" s="16">
        <f>-Marketing!S49</f>
        <v>-2308190.2941176468</v>
      </c>
      <c r="T64" s="16">
        <f>-Marketing!T49</f>
        <v>-2637931.7647058824</v>
      </c>
      <c r="U64" s="16">
        <f>-Marketing!U49</f>
        <v>-2967673.2352941176</v>
      </c>
      <c r="V64" s="16">
        <f>-Marketing!V49</f>
        <v>-3297414.7058823528</v>
      </c>
      <c r="W64" s="16">
        <f>-Marketing!W49</f>
        <v>-3627156.176470588</v>
      </c>
      <c r="X64" s="16">
        <f>-Marketing!X49</f>
        <v>-3956897.6470588231</v>
      </c>
      <c r="Y64" s="16">
        <f>-Marketing!Y49</f>
        <v>-4286639.1176470583</v>
      </c>
    </row>
    <row r="66" spans="1:25" x14ac:dyDescent="0.5">
      <c r="A66" s="14" t="s">
        <v>299</v>
      </c>
      <c r="E66" s="24">
        <f>(E68/E67)/E23</f>
        <v>0.75592857142857139</v>
      </c>
      <c r="F66" s="17">
        <v>2</v>
      </c>
      <c r="G66" s="14">
        <f>F66</f>
        <v>2</v>
      </c>
      <c r="H66" s="14">
        <f t="shared" ref="H66:Y66" si="36">G66</f>
        <v>2</v>
      </c>
      <c r="I66" s="14">
        <f t="shared" si="36"/>
        <v>2</v>
      </c>
      <c r="J66" s="14">
        <f t="shared" si="36"/>
        <v>2</v>
      </c>
      <c r="K66" s="14">
        <f t="shared" si="36"/>
        <v>2</v>
      </c>
      <c r="L66" s="14">
        <f t="shared" si="36"/>
        <v>2</v>
      </c>
      <c r="M66" s="14">
        <f t="shared" si="36"/>
        <v>2</v>
      </c>
      <c r="N66" s="14">
        <f t="shared" si="36"/>
        <v>2</v>
      </c>
      <c r="O66" s="14">
        <f t="shared" si="36"/>
        <v>2</v>
      </c>
      <c r="P66" s="14">
        <f t="shared" si="36"/>
        <v>2</v>
      </c>
      <c r="Q66" s="14">
        <f t="shared" si="36"/>
        <v>2</v>
      </c>
      <c r="R66" s="14">
        <f t="shared" si="36"/>
        <v>2</v>
      </c>
      <c r="S66" s="14">
        <f t="shared" si="36"/>
        <v>2</v>
      </c>
      <c r="T66" s="14">
        <f t="shared" si="36"/>
        <v>2</v>
      </c>
      <c r="U66" s="14">
        <f t="shared" si="36"/>
        <v>2</v>
      </c>
      <c r="V66" s="14">
        <f t="shared" si="36"/>
        <v>2</v>
      </c>
      <c r="W66" s="14">
        <f t="shared" si="36"/>
        <v>2</v>
      </c>
      <c r="X66" s="14">
        <f t="shared" si="36"/>
        <v>2</v>
      </c>
      <c r="Y66" s="14">
        <f t="shared" si="36"/>
        <v>2</v>
      </c>
    </row>
    <row r="67" spans="1:25" x14ac:dyDescent="0.5">
      <c r="A67" s="14" t="s">
        <v>298</v>
      </c>
      <c r="E67" s="24">
        <v>-35</v>
      </c>
      <c r="F67" s="17">
        <f>-35</f>
        <v>-35</v>
      </c>
      <c r="G67" s="14">
        <f>F67</f>
        <v>-35</v>
      </c>
      <c r="H67" s="14">
        <f t="shared" ref="H67:Y67" si="37">G67</f>
        <v>-35</v>
      </c>
      <c r="I67" s="14">
        <f t="shared" si="37"/>
        <v>-35</v>
      </c>
      <c r="J67" s="14">
        <f t="shared" si="37"/>
        <v>-35</v>
      </c>
      <c r="K67" s="14">
        <f t="shared" si="37"/>
        <v>-35</v>
      </c>
      <c r="L67" s="14">
        <f t="shared" si="37"/>
        <v>-35</v>
      </c>
      <c r="M67" s="14">
        <f t="shared" si="37"/>
        <v>-35</v>
      </c>
      <c r="N67" s="14">
        <f t="shared" si="37"/>
        <v>-35</v>
      </c>
      <c r="O67" s="14">
        <f t="shared" si="37"/>
        <v>-35</v>
      </c>
      <c r="P67" s="14">
        <f t="shared" si="37"/>
        <v>-35</v>
      </c>
      <c r="Q67" s="14">
        <f t="shared" si="37"/>
        <v>-35</v>
      </c>
      <c r="R67" s="14">
        <f t="shared" si="37"/>
        <v>-35</v>
      </c>
      <c r="S67" s="14">
        <f t="shared" si="37"/>
        <v>-35</v>
      </c>
      <c r="T67" s="14">
        <f t="shared" si="37"/>
        <v>-35</v>
      </c>
      <c r="U67" s="14">
        <f t="shared" si="37"/>
        <v>-35</v>
      </c>
      <c r="V67" s="14">
        <f t="shared" si="37"/>
        <v>-35</v>
      </c>
      <c r="W67" s="14">
        <f t="shared" si="37"/>
        <v>-35</v>
      </c>
      <c r="X67" s="14">
        <f t="shared" si="37"/>
        <v>-35</v>
      </c>
      <c r="Y67" s="14">
        <f t="shared" si="37"/>
        <v>-35</v>
      </c>
    </row>
    <row r="68" spans="1:25" x14ac:dyDescent="0.5">
      <c r="A68" s="14" t="s">
        <v>297</v>
      </c>
      <c r="B68" s="21">
        <f>-'P&amp;L-Q'!O18</f>
        <v>0</v>
      </c>
      <c r="C68" s="21">
        <f>-'P&amp;L-Q'!P18</f>
        <v>-390</v>
      </c>
      <c r="D68" s="21">
        <f>-'P&amp;L-Q'!Q18</f>
        <v>0</v>
      </c>
      <c r="E68" s="21">
        <f>-'P&amp;L-Q'!R18</f>
        <v>-105.83</v>
      </c>
      <c r="F68" s="14">
        <f t="shared" ref="F68:Y68" si="38">F23*F67*F66</f>
        <v>-210</v>
      </c>
      <c r="G68" s="14">
        <f t="shared" si="38"/>
        <v>-770</v>
      </c>
      <c r="H68" s="14">
        <f t="shared" si="38"/>
        <v>-560</v>
      </c>
      <c r="I68" s="14">
        <f t="shared" si="38"/>
        <v>-1400</v>
      </c>
      <c r="J68" s="14">
        <f t="shared" si="38"/>
        <v>-1890</v>
      </c>
      <c r="K68" s="14">
        <f t="shared" si="38"/>
        <v>-2100</v>
      </c>
      <c r="L68" s="14">
        <f t="shared" si="38"/>
        <v>-3850</v>
      </c>
      <c r="M68" s="14">
        <f t="shared" si="38"/>
        <v>-4830</v>
      </c>
      <c r="N68" s="14">
        <f t="shared" si="38"/>
        <v>-6020</v>
      </c>
      <c r="O68" s="14">
        <f t="shared" si="38"/>
        <v>-7490</v>
      </c>
      <c r="P68" s="14">
        <f t="shared" si="38"/>
        <v>-19320</v>
      </c>
      <c r="Q68" s="14">
        <f t="shared" si="38"/>
        <v>-29260</v>
      </c>
      <c r="R68" s="14">
        <f t="shared" si="38"/>
        <v>-39970</v>
      </c>
      <c r="S68" s="14">
        <f t="shared" si="38"/>
        <v>-51660</v>
      </c>
      <c r="T68" s="14">
        <f t="shared" si="38"/>
        <v>-64540</v>
      </c>
      <c r="U68" s="14">
        <f t="shared" si="38"/>
        <v>-79030</v>
      </c>
      <c r="V68" s="14">
        <f t="shared" si="38"/>
        <v>-95340</v>
      </c>
      <c r="W68" s="14">
        <f t="shared" si="38"/>
        <v>-114100</v>
      </c>
      <c r="X68" s="14">
        <f t="shared" si="38"/>
        <v>-135800</v>
      </c>
      <c r="Y68" s="14">
        <f t="shared" si="38"/>
        <v>-161280</v>
      </c>
    </row>
    <row r="70" spans="1:25" x14ac:dyDescent="0.5">
      <c r="A70" s="14" t="s">
        <v>147</v>
      </c>
      <c r="B70" s="23">
        <f>B62+B64+B68</f>
        <v>-8803.33</v>
      </c>
      <c r="C70" s="23">
        <f t="shared" ref="C70:Y70" si="39">C62+C64+C68</f>
        <v>-8431.6899999999987</v>
      </c>
      <c r="D70" s="23">
        <f t="shared" si="39"/>
        <v>-17139.66</v>
      </c>
      <c r="E70" s="23">
        <f t="shared" si="39"/>
        <v>-15829.85</v>
      </c>
      <c r="F70" s="14">
        <f t="shared" si="39"/>
        <v>-15885</v>
      </c>
      <c r="G70" s="14">
        <f t="shared" si="39"/>
        <v>-21765</v>
      </c>
      <c r="H70" s="14">
        <f t="shared" si="39"/>
        <v>-24690</v>
      </c>
      <c r="I70" s="14">
        <f t="shared" si="39"/>
        <v>-30375</v>
      </c>
      <c r="J70" s="14">
        <f t="shared" si="39"/>
        <v>-38085</v>
      </c>
      <c r="K70" s="14">
        <f t="shared" si="39"/>
        <v>-47415</v>
      </c>
      <c r="L70" s="14">
        <f t="shared" si="39"/>
        <v>-60470</v>
      </c>
      <c r="M70" s="14">
        <f t="shared" si="39"/>
        <v>-443821.4705882353</v>
      </c>
      <c r="N70" s="14">
        <f t="shared" si="39"/>
        <v>-830897.9411764706</v>
      </c>
      <c r="O70" s="14">
        <f t="shared" si="39"/>
        <v>-1222719.4117647058</v>
      </c>
      <c r="P70" s="14">
        <f t="shared" si="39"/>
        <v>-1630410.8823529412</v>
      </c>
      <c r="Q70" s="14">
        <f t="shared" si="39"/>
        <v>-2043052.3529411764</v>
      </c>
      <c r="R70" s="14">
        <f t="shared" si="39"/>
        <v>-2465203.8235294116</v>
      </c>
      <c r="S70" s="14">
        <f t="shared" si="39"/>
        <v>-2899070.2941176468</v>
      </c>
      <c r="T70" s="14">
        <f t="shared" si="39"/>
        <v>-3347711.7647058824</v>
      </c>
      <c r="U70" s="14">
        <f t="shared" si="39"/>
        <v>-3814683.2352941176</v>
      </c>
      <c r="V70" s="14">
        <f t="shared" si="39"/>
        <v>-4304659.7058823528</v>
      </c>
      <c r="W70" s="14">
        <f t="shared" si="39"/>
        <v>-4823496.176470588</v>
      </c>
      <c r="X70" s="14">
        <f t="shared" si="39"/>
        <v>-5378142.6470588231</v>
      </c>
      <c r="Y70" s="14">
        <f t="shared" si="39"/>
        <v>-5977704.1176470583</v>
      </c>
    </row>
    <row r="72" spans="1:25" x14ac:dyDescent="0.5">
      <c r="A72" s="14" t="s">
        <v>148</v>
      </c>
      <c r="B72" s="23">
        <f>B59+B64</f>
        <v>2613.4500000000007</v>
      </c>
      <c r="C72" s="23">
        <f t="shared" ref="C72:Y72" si="40">C59+C64</f>
        <v>1515.8600000000006</v>
      </c>
      <c r="D72" s="23">
        <f t="shared" si="40"/>
        <v>1339.7700000000004</v>
      </c>
      <c r="E72" s="23">
        <f t="shared" si="40"/>
        <v>2207.9300000000003</v>
      </c>
      <c r="F72" s="14">
        <f t="shared" si="40"/>
        <v>5156.25</v>
      </c>
      <c r="G72" s="14">
        <f t="shared" si="40"/>
        <v>6906.25</v>
      </c>
      <c r="H72" s="14">
        <f t="shared" si="40"/>
        <v>7937.5</v>
      </c>
      <c r="I72" s="14">
        <f t="shared" si="40"/>
        <v>9531.25</v>
      </c>
      <c r="J72" s="14">
        <f t="shared" si="40"/>
        <v>29456.25</v>
      </c>
      <c r="K72" s="14">
        <f t="shared" si="40"/>
        <v>34406.25</v>
      </c>
      <c r="L72" s="14">
        <f t="shared" si="40"/>
        <v>42675</v>
      </c>
      <c r="M72" s="14">
        <f t="shared" si="40"/>
        <v>157891.61764705885</v>
      </c>
      <c r="N72" s="14">
        <f t="shared" si="40"/>
        <v>275564.48529411771</v>
      </c>
      <c r="O72" s="14">
        <f t="shared" si="40"/>
        <v>397306.10294117662</v>
      </c>
      <c r="P72" s="14">
        <f t="shared" si="40"/>
        <v>601460.22058823542</v>
      </c>
      <c r="Q72" s="14">
        <f t="shared" si="40"/>
        <v>811114.33823529445</v>
      </c>
      <c r="R72" s="14">
        <f t="shared" si="40"/>
        <v>1026893.4558823532</v>
      </c>
      <c r="S72" s="14">
        <f t="shared" si="40"/>
        <v>1251403.823529412</v>
      </c>
      <c r="T72" s="14">
        <f t="shared" si="40"/>
        <v>1485582.9411764708</v>
      </c>
      <c r="U72" s="14">
        <f t="shared" si="40"/>
        <v>1732412.0588235296</v>
      </c>
      <c r="V72" s="14">
        <f t="shared" si="40"/>
        <v>1995309.9264705889</v>
      </c>
      <c r="W72" s="14">
        <f t="shared" si="40"/>
        <v>2277295.2941176472</v>
      </c>
      <c r="X72" s="14">
        <f t="shared" si="40"/>
        <v>2584393.1617647065</v>
      </c>
      <c r="Y72" s="14">
        <f t="shared" si="40"/>
        <v>2922572.2794117657</v>
      </c>
    </row>
    <row r="74" spans="1:25" s="31" customFormat="1" x14ac:dyDescent="0.5">
      <c r="A74" s="37" t="s">
        <v>150</v>
      </c>
      <c r="B74" s="38">
        <f>B49+B51+B59+B62+B64+B68</f>
        <v>25107.870000000003</v>
      </c>
      <c r="C74" s="38">
        <f t="shared" ref="C74:Y74" si="41">C49+C51+C59+C62+C64+C68</f>
        <v>12773.820000000003</v>
      </c>
      <c r="D74" s="38">
        <f t="shared" si="41"/>
        <v>46996.34</v>
      </c>
      <c r="E74" s="38">
        <f t="shared" si="41"/>
        <v>46815.369999999981</v>
      </c>
      <c r="F74" s="37">
        <f t="shared" si="41"/>
        <v>107380.64759036145</v>
      </c>
      <c r="G74" s="37">
        <f t="shared" si="41"/>
        <v>171970.35176991153</v>
      </c>
      <c r="H74" s="37">
        <f t="shared" si="41"/>
        <v>134920.1035714286</v>
      </c>
      <c r="I74" s="37">
        <f t="shared" si="41"/>
        <v>192501.66</v>
      </c>
      <c r="J74" s="37">
        <f t="shared" si="41"/>
        <v>273821.3125</v>
      </c>
      <c r="K74" s="37">
        <f t="shared" si="41"/>
        <v>313014.49812499998</v>
      </c>
      <c r="L74" s="37">
        <f t="shared" si="41"/>
        <v>454005.19540625002</v>
      </c>
      <c r="M74" s="37">
        <f t="shared" si="41"/>
        <v>634811.8619048713</v>
      </c>
      <c r="N74" s="37">
        <f t="shared" si="41"/>
        <v>841649.79061638331</v>
      </c>
      <c r="O74" s="37">
        <f t="shared" si="41"/>
        <v>1084186.4845940087</v>
      </c>
      <c r="P74" s="37">
        <f t="shared" si="41"/>
        <v>2616984.4476542757</v>
      </c>
      <c r="Q74" s="37">
        <f t="shared" si="41"/>
        <v>4072730.872067844</v>
      </c>
      <c r="R74" s="37">
        <f t="shared" si="41"/>
        <v>5607590.3731730413</v>
      </c>
      <c r="S74" s="37">
        <f t="shared" si="41"/>
        <v>7243588.7201427724</v>
      </c>
      <c r="T74" s="37">
        <f t="shared" si="41"/>
        <v>9002884.0619431697</v>
      </c>
      <c r="U74" s="37">
        <f t="shared" si="41"/>
        <v>10923003.459781904</v>
      </c>
      <c r="V74" s="37">
        <f t="shared" si="41"/>
        <v>13034816.677668557</v>
      </c>
      <c r="W74" s="37">
        <f t="shared" si="41"/>
        <v>15392894.983115107</v>
      </c>
      <c r="X74" s="37">
        <f t="shared" si="41"/>
        <v>18055322.773011532</v>
      </c>
      <c r="Y74" s="37">
        <f t="shared" si="41"/>
        <v>21102975.543470293</v>
      </c>
    </row>
    <row r="76" spans="1:25" x14ac:dyDescent="0.5">
      <c r="A76" s="14" t="s">
        <v>27</v>
      </c>
      <c r="B76" s="21">
        <f>-Marketing!B9</f>
        <v>-1504.99</v>
      </c>
      <c r="C76" s="21">
        <f>-Marketing!C9</f>
        <v>-9702.31</v>
      </c>
      <c r="D76" s="21">
        <f>-Marketing!D9</f>
        <v>-14847.65</v>
      </c>
      <c r="E76" s="21">
        <f>-Marketing!E9</f>
        <v>-10043.950000000001</v>
      </c>
      <c r="F76" s="14">
        <f>-Marketing!F9</f>
        <v>-15631</v>
      </c>
      <c r="G76" s="14">
        <f>-Marketing!G9</f>
        <v>-17194.100000000002</v>
      </c>
      <c r="H76" s="14">
        <f>-Marketing!H9</f>
        <v>-19773.215</v>
      </c>
      <c r="I76" s="14">
        <f>-Marketing!I9</f>
        <v>-23727.858</v>
      </c>
      <c r="J76" s="14">
        <f>-Marketing!J9</f>
        <v>-29659.822500000002</v>
      </c>
      <c r="K76" s="14">
        <f>-Marketing!K9</f>
        <v>-37074.778125000004</v>
      </c>
      <c r="L76" s="14">
        <f>-Marketing!L9</f>
        <v>-46343.472656250007</v>
      </c>
      <c r="M76" s="14">
        <f>-Marketing!M9</f>
        <v>-57929.340820312507</v>
      </c>
      <c r="N76" s="14">
        <f>-Marketing!N9</f>
        <v>-72411.67602539064</v>
      </c>
      <c r="O76" s="14">
        <f>-Marketing!O9</f>
        <v>-90514.595031738296</v>
      </c>
      <c r="P76" s="14">
        <f>-Marketing!P9</f>
        <v>-113143.24378967287</v>
      </c>
      <c r="Q76" s="14">
        <f>-Marketing!Q9</f>
        <v>-141429.05473709109</v>
      </c>
      <c r="R76" s="14">
        <f>-Marketing!R9</f>
        <v>-176786.31842136386</v>
      </c>
      <c r="S76" s="14">
        <f>-Marketing!S9</f>
        <v>-220982.89802670482</v>
      </c>
      <c r="T76" s="14">
        <f>-Marketing!T9</f>
        <v>-276228.62253338104</v>
      </c>
      <c r="U76" s="14">
        <f>-Marketing!U9</f>
        <v>-345285.77816672629</v>
      </c>
      <c r="V76" s="14">
        <f>-Marketing!V9</f>
        <v>-431607.22270840785</v>
      </c>
      <c r="W76" s="14">
        <f>-Marketing!W9</f>
        <v>-539509.02838550985</v>
      </c>
      <c r="X76" s="14">
        <f>-Marketing!X9</f>
        <v>-674386.28548188729</v>
      </c>
      <c r="Y76" s="14">
        <f>-Marketing!Y9</f>
        <v>-842982.85685235914</v>
      </c>
    </row>
    <row r="77" spans="1:25" x14ac:dyDescent="0.5">
      <c r="A77" s="14" t="s">
        <v>152</v>
      </c>
      <c r="B77" s="21">
        <f>-'P&amp;L-Q'!O26</f>
        <v>-62850.34</v>
      </c>
      <c r="C77" s="21">
        <f>-'P&amp;L-Q'!P26</f>
        <v>-42239.95</v>
      </c>
      <c r="D77" s="21">
        <f>-'P&amp;L-Q'!Q26</f>
        <v>-23737.56</v>
      </c>
      <c r="E77" s="21">
        <f>-'P&amp;L-Q'!R26</f>
        <v>-61233.2</v>
      </c>
      <c r="F77" s="14">
        <f>F78*F90</f>
        <v>-52761.938313253013</v>
      </c>
      <c r="G77" s="14">
        <f t="shared" ref="G77:Y77" si="42">G78*G90</f>
        <v>-47399.445663716819</v>
      </c>
      <c r="H77" s="14">
        <f t="shared" si="42"/>
        <v>-40466.542857142857</v>
      </c>
      <c r="I77" s="14">
        <f t="shared" si="42"/>
        <v>-39296</v>
      </c>
      <c r="J77" s="14">
        <f t="shared" si="42"/>
        <v>-42534</v>
      </c>
      <c r="K77" s="14">
        <f t="shared" si="42"/>
        <v>-49778</v>
      </c>
      <c r="L77" s="14">
        <f t="shared" si="42"/>
        <v>-54672</v>
      </c>
      <c r="M77" s="14">
        <f t="shared" si="42"/>
        <v>-98620</v>
      </c>
      <c r="N77" s="14">
        <f t="shared" si="42"/>
        <v>-133870</v>
      </c>
      <c r="O77" s="14">
        <f t="shared" si="42"/>
        <v>-175364</v>
      </c>
      <c r="P77" s="14">
        <f t="shared" si="42"/>
        <v>-275316</v>
      </c>
      <c r="Q77" s="14">
        <f t="shared" si="42"/>
        <v>-374954</v>
      </c>
      <c r="R77" s="14">
        <f t="shared" si="42"/>
        <v>-479820</v>
      </c>
      <c r="S77" s="14">
        <f t="shared" si="42"/>
        <v>-597120</v>
      </c>
      <c r="T77" s="14">
        <f t="shared" si="42"/>
        <v>-721608</v>
      </c>
      <c r="U77" s="14">
        <f t="shared" si="42"/>
        <v>-858100</v>
      </c>
      <c r="V77" s="14">
        <f t="shared" si="42"/>
        <v>-1017244</v>
      </c>
      <c r="W77" s="14">
        <f t="shared" si="42"/>
        <v>-1195264</v>
      </c>
      <c r="X77" s="14">
        <f t="shared" si="42"/>
        <v>-1398134</v>
      </c>
      <c r="Y77" s="14">
        <f t="shared" si="42"/>
        <v>-1636380</v>
      </c>
    </row>
    <row r="78" spans="1:25" x14ac:dyDescent="0.5">
      <c r="A78" s="14" t="s">
        <v>30</v>
      </c>
      <c r="B78" s="21">
        <f>-'P&amp;L-Q'!O27</f>
        <v>-147327.41</v>
      </c>
      <c r="C78" s="21">
        <f>-'P&amp;L-Q'!P27</f>
        <v>-163550.32</v>
      </c>
      <c r="D78" s="21">
        <f>-'P&amp;L-Q'!Q27</f>
        <v>-154424.03</v>
      </c>
      <c r="E78" s="21">
        <f>-'P&amp;L-Q'!R27</f>
        <v>-136511.01999999999</v>
      </c>
      <c r="F78" s="16">
        <f>'Staff costs'!F128</f>
        <v>-175873.12771084337</v>
      </c>
      <c r="G78" s="16">
        <f>'Staff costs'!G128</f>
        <v>-157998.1522123894</v>
      </c>
      <c r="H78" s="16">
        <f>'Staff costs'!H128</f>
        <v>-161866.17142857143</v>
      </c>
      <c r="I78" s="16">
        <f>'Staff costs'!I128</f>
        <v>-196480</v>
      </c>
      <c r="J78" s="16">
        <f>'Staff costs'!J128</f>
        <v>-212670</v>
      </c>
      <c r="K78" s="16">
        <f>'Staff costs'!K128</f>
        <v>-248890</v>
      </c>
      <c r="L78" s="16">
        <f>'Staff costs'!L128</f>
        <v>-273360</v>
      </c>
      <c r="M78" s="16">
        <f>'Staff costs'!M128</f>
        <v>-493100</v>
      </c>
      <c r="N78" s="16">
        <f>'Staff costs'!N128</f>
        <v>-669350</v>
      </c>
      <c r="O78" s="16">
        <f>'Staff costs'!O128</f>
        <v>-876820</v>
      </c>
      <c r="P78" s="16">
        <f>'Staff costs'!P128</f>
        <v>-1376580</v>
      </c>
      <c r="Q78" s="16">
        <f>'Staff costs'!Q128</f>
        <v>-1874770</v>
      </c>
      <c r="R78" s="16">
        <f>'Staff costs'!R128</f>
        <v>-2399100</v>
      </c>
      <c r="S78" s="16">
        <f>'Staff costs'!S128</f>
        <v>-2985600</v>
      </c>
      <c r="T78" s="16">
        <f>'Staff costs'!T128</f>
        <v>-3608040</v>
      </c>
      <c r="U78" s="16">
        <f>'Staff costs'!U128</f>
        <v>-4290500</v>
      </c>
      <c r="V78" s="16">
        <f>'Staff costs'!V128</f>
        <v>-5086220</v>
      </c>
      <c r="W78" s="16">
        <f>'Staff costs'!W128</f>
        <v>-5976320</v>
      </c>
      <c r="X78" s="16">
        <f>'Staff costs'!X128</f>
        <v>-6990670</v>
      </c>
      <c r="Y78" s="16">
        <f>'Staff costs'!Y128</f>
        <v>-8181900</v>
      </c>
    </row>
    <row r="79" spans="1:25" x14ac:dyDescent="0.5">
      <c r="A79" s="14" t="s">
        <v>153</v>
      </c>
      <c r="B79" s="21">
        <f>-'P&amp;L-Q'!O28</f>
        <v>-2408.12</v>
      </c>
      <c r="C79" s="21">
        <f>-'P&amp;L-Q'!P28</f>
        <v>-2867.86</v>
      </c>
      <c r="D79" s="21">
        <f>-'P&amp;L-Q'!Q28</f>
        <v>-2382.7600000000002</v>
      </c>
      <c r="E79" s="21">
        <f>-'P&amp;L-Q'!R28</f>
        <v>-1895.24</v>
      </c>
      <c r="F79" s="14">
        <f>F78*F91</f>
        <v>-2778.5227135361856</v>
      </c>
      <c r="G79" s="14">
        <f t="shared" ref="G79:Y79" si="43">G78*G91</f>
        <v>-2474.5229826133505</v>
      </c>
      <c r="H79" s="14">
        <f t="shared" si="43"/>
        <v>-2459.2964251558201</v>
      </c>
      <c r="I79" s="14">
        <f t="shared" si="43"/>
        <v>-2973.5767110515571</v>
      </c>
      <c r="J79" s="14">
        <f t="shared" si="43"/>
        <v>-3285.1033972118998</v>
      </c>
      <c r="K79" s="14">
        <f t="shared" si="43"/>
        <v>-3822.7210034655309</v>
      </c>
      <c r="L79" s="14">
        <f t="shared" si="43"/>
        <v>-4177.8750475602701</v>
      </c>
      <c r="M79" s="14">
        <f t="shared" si="43"/>
        <v>-7547.3509764100854</v>
      </c>
      <c r="N79" s="14">
        <f t="shared" si="43"/>
        <v>-10273.748097095722</v>
      </c>
      <c r="O79" s="14">
        <f t="shared" si="43"/>
        <v>-13436.666474383415</v>
      </c>
      <c r="P79" s="14">
        <f t="shared" si="43"/>
        <v>-21083.18308917492</v>
      </c>
      <c r="Q79" s="14">
        <f t="shared" si="43"/>
        <v>-28728.369672183184</v>
      </c>
      <c r="R79" s="14">
        <f t="shared" si="43"/>
        <v>-36773.681065013283</v>
      </c>
      <c r="S79" s="14">
        <f t="shared" si="43"/>
        <v>-45748.149298973236</v>
      </c>
      <c r="T79" s="14">
        <f t="shared" si="43"/>
        <v>-55284.508797214374</v>
      </c>
      <c r="U79" s="14">
        <f t="shared" si="43"/>
        <v>-65749.03008747178</v>
      </c>
      <c r="V79" s="14">
        <f t="shared" si="43"/>
        <v>-77943.732707452116</v>
      </c>
      <c r="W79" s="14">
        <f t="shared" si="43"/>
        <v>-91578.64741493082</v>
      </c>
      <c r="X79" s="14">
        <f t="shared" si="43"/>
        <v>-107123.26498356104</v>
      </c>
      <c r="Y79" s="14">
        <f t="shared" si="43"/>
        <v>-125379.74677027781</v>
      </c>
    </row>
    <row r="80" spans="1:25" x14ac:dyDescent="0.5">
      <c r="A80" s="14" t="s">
        <v>154</v>
      </c>
      <c r="B80" s="21">
        <f>-'P&amp;L-Q'!O30</f>
        <v>-52239.92</v>
      </c>
      <c r="C80" s="21">
        <f>-'P&amp;L-Q'!P30</f>
        <v>-95322.84</v>
      </c>
      <c r="D80" s="21">
        <f>-'P&amp;L-Q'!Q30</f>
        <v>-68847.240000000005</v>
      </c>
      <c r="E80" s="21">
        <f>-'P&amp;L-Q'!R30</f>
        <v>-77411.03</v>
      </c>
      <c r="F80" s="16">
        <f>'Staff costs'!F129</f>
        <v>-97864.43981205282</v>
      </c>
      <c r="G80" s="16">
        <f>'Staff costs'!G129</f>
        <v>-73141.717009560394</v>
      </c>
      <c r="H80" s="16">
        <f>'Staff costs'!H129</f>
        <v>-80701.713348715653</v>
      </c>
      <c r="I80" s="16">
        <f>'Staff costs'!I129</f>
        <v>-104577.07028119665</v>
      </c>
      <c r="J80" s="16">
        <f>'Staff costs'!J129</f>
        <v>-97250.917072231736</v>
      </c>
      <c r="K80" s="16">
        <f>'Staff costs'!K129</f>
        <v>-126149.47981289207</v>
      </c>
      <c r="L80" s="16">
        <f>'Staff costs'!L129</f>
        <v>-117020.51322713718</v>
      </c>
      <c r="M80" s="16">
        <f>'Staff costs'!M129</f>
        <v>-319100.19783875236</v>
      </c>
      <c r="N80" s="16">
        <f>'Staff costs'!N129</f>
        <v>-355813.1377349805</v>
      </c>
      <c r="O80" s="16">
        <f>'Staff costs'!O129</f>
        <v>-443195.9044882881</v>
      </c>
      <c r="P80" s="16">
        <f>'Staff costs'!P129</f>
        <v>-711291.31352397031</v>
      </c>
      <c r="Q80" s="16">
        <f>'Staff costs'!Q129</f>
        <v>-879875.29949220805</v>
      </c>
      <c r="R80" s="16">
        <f>'Staff costs'!R129</f>
        <v>-1063274.316659807</v>
      </c>
      <c r="S80" s="16">
        <f>'Staff costs'!S129</f>
        <v>-1291225.0358038512</v>
      </c>
      <c r="T80" s="16">
        <f>'Staff costs'!T129</f>
        <v>-1510183.1084790754</v>
      </c>
      <c r="U80" s="16">
        <f>'Staff costs'!U129</f>
        <v>-1763092.5267008054</v>
      </c>
      <c r="V80" s="16">
        <f>'Staff costs'!V129</f>
        <v>-2088896.0701574101</v>
      </c>
      <c r="W80" s="16">
        <f>'Staff costs'!W129</f>
        <v>-2427443.6321524894</v>
      </c>
      <c r="X80" s="16">
        <f>'Staff costs'!X129</f>
        <v>-2823565.2808545548</v>
      </c>
      <c r="Y80" s="16">
        <f>'Staff costs'!Y129</f>
        <v>-3308805.0901741795</v>
      </c>
    </row>
    <row r="82" spans="1:25" x14ac:dyDescent="0.5">
      <c r="A82" s="31" t="s">
        <v>155</v>
      </c>
      <c r="B82" s="36">
        <f>SUM(B74:B80)</f>
        <v>-241222.90999999997</v>
      </c>
      <c r="C82" s="36">
        <f t="shared" ref="C82:Y82" si="44">SUM(C74:C80)</f>
        <v>-300909.45999999996</v>
      </c>
      <c r="D82" s="36">
        <f t="shared" si="44"/>
        <v>-217242.90000000002</v>
      </c>
      <c r="E82" s="36">
        <f t="shared" si="44"/>
        <v>-240279.06999999998</v>
      </c>
      <c r="F82" s="31">
        <f t="shared" si="44"/>
        <v>-237528.38095932396</v>
      </c>
      <c r="G82" s="31">
        <f t="shared" si="44"/>
        <v>-126237.58609836843</v>
      </c>
      <c r="H82" s="31">
        <f t="shared" si="44"/>
        <v>-170346.83548815717</v>
      </c>
      <c r="I82" s="31">
        <f t="shared" si="44"/>
        <v>-174552.84499224823</v>
      </c>
      <c r="J82" s="31">
        <f t="shared" si="44"/>
        <v>-111578.53046944365</v>
      </c>
      <c r="K82" s="31">
        <f t="shared" si="44"/>
        <v>-152700.48081635762</v>
      </c>
      <c r="L82" s="31">
        <f t="shared" si="44"/>
        <v>-41568.665524697441</v>
      </c>
      <c r="M82" s="31">
        <f t="shared" si="44"/>
        <v>-341485.02773060364</v>
      </c>
      <c r="N82" s="31">
        <f t="shared" si="44"/>
        <v>-400068.77124108351</v>
      </c>
      <c r="O82" s="31">
        <f t="shared" si="44"/>
        <v>-515144.68140040117</v>
      </c>
      <c r="P82" s="31">
        <f t="shared" si="44"/>
        <v>119570.70725145761</v>
      </c>
      <c r="Q82" s="31">
        <f t="shared" si="44"/>
        <v>772974.14816636173</v>
      </c>
      <c r="R82" s="31">
        <f t="shared" si="44"/>
        <v>1451836.0570268573</v>
      </c>
      <c r="S82" s="31">
        <f t="shared" si="44"/>
        <v>2102912.637013243</v>
      </c>
      <c r="T82" s="31">
        <f t="shared" si="44"/>
        <v>2831539.8221334992</v>
      </c>
      <c r="U82" s="31">
        <f t="shared" si="44"/>
        <v>3600276.1248269002</v>
      </c>
      <c r="V82" s="31">
        <f t="shared" si="44"/>
        <v>4332905.6520952862</v>
      </c>
      <c r="W82" s="31">
        <f t="shared" si="44"/>
        <v>5162779.6751621757</v>
      </c>
      <c r="X82" s="31">
        <f t="shared" si="44"/>
        <v>6061443.9416915271</v>
      </c>
      <c r="Y82" s="31">
        <f t="shared" si="44"/>
        <v>7007527.8496734761</v>
      </c>
    </row>
    <row r="84" spans="1:25" x14ac:dyDescent="0.5">
      <c r="A84" s="14" t="s">
        <v>156</v>
      </c>
      <c r="B84" s="23">
        <f>-'P&amp;L-Q'!O38</f>
        <v>124717.98</v>
      </c>
      <c r="C84" s="23">
        <f>-'P&amp;L-Q'!P38</f>
        <v>0</v>
      </c>
      <c r="D84" s="23">
        <f>-'P&amp;L-Q'!Q38</f>
        <v>0</v>
      </c>
      <c r="E84" s="23">
        <f>-'P&amp;L-Q'!R38</f>
        <v>0</v>
      </c>
    </row>
    <row r="86" spans="1:25" x14ac:dyDescent="0.5">
      <c r="A86" s="37" t="s">
        <v>157</v>
      </c>
      <c r="B86" s="38">
        <f>B82+B84</f>
        <v>-116504.92999999998</v>
      </c>
      <c r="C86" s="38">
        <f t="shared" ref="C86:Y86" si="45">C82+C84</f>
        <v>-300909.45999999996</v>
      </c>
      <c r="D86" s="38">
        <f t="shared" si="45"/>
        <v>-217242.90000000002</v>
      </c>
      <c r="E86" s="38">
        <f t="shared" si="45"/>
        <v>-240279.06999999998</v>
      </c>
      <c r="F86" s="37">
        <f t="shared" si="45"/>
        <v>-237528.38095932396</v>
      </c>
      <c r="G86" s="37">
        <f t="shared" si="45"/>
        <v>-126237.58609836843</v>
      </c>
      <c r="H86" s="37">
        <f t="shared" si="45"/>
        <v>-170346.83548815717</v>
      </c>
      <c r="I86" s="37">
        <f t="shared" si="45"/>
        <v>-174552.84499224823</v>
      </c>
      <c r="J86" s="37">
        <f t="shared" si="45"/>
        <v>-111578.53046944365</v>
      </c>
      <c r="K86" s="37">
        <f t="shared" si="45"/>
        <v>-152700.48081635762</v>
      </c>
      <c r="L86" s="37">
        <f t="shared" si="45"/>
        <v>-41568.665524697441</v>
      </c>
      <c r="M86" s="37">
        <f t="shared" si="45"/>
        <v>-341485.02773060364</v>
      </c>
      <c r="N86" s="37">
        <f t="shared" si="45"/>
        <v>-400068.77124108351</v>
      </c>
      <c r="O86" s="37">
        <f t="shared" si="45"/>
        <v>-515144.68140040117</v>
      </c>
      <c r="P86" s="37">
        <f t="shared" si="45"/>
        <v>119570.70725145761</v>
      </c>
      <c r="Q86" s="37">
        <f t="shared" si="45"/>
        <v>772974.14816636173</v>
      </c>
      <c r="R86" s="37">
        <f t="shared" si="45"/>
        <v>1451836.0570268573</v>
      </c>
      <c r="S86" s="37">
        <f t="shared" si="45"/>
        <v>2102912.637013243</v>
      </c>
      <c r="T86" s="37">
        <f t="shared" si="45"/>
        <v>2831539.8221334992</v>
      </c>
      <c r="U86" s="37">
        <f t="shared" si="45"/>
        <v>3600276.1248269002</v>
      </c>
      <c r="V86" s="37">
        <f t="shared" si="45"/>
        <v>4332905.6520952862</v>
      </c>
      <c r="W86" s="37">
        <f t="shared" si="45"/>
        <v>5162779.6751621757</v>
      </c>
      <c r="X86" s="37">
        <f t="shared" si="45"/>
        <v>6061443.9416915271</v>
      </c>
      <c r="Y86" s="37">
        <f t="shared" si="45"/>
        <v>7007527.8496734761</v>
      </c>
    </row>
    <row r="90" spans="1:25" x14ac:dyDescent="0.5">
      <c r="A90" s="14" t="s">
        <v>158</v>
      </c>
      <c r="B90" s="22">
        <f>B77/SUM(B77:B78)</f>
        <v>0.29903422222380815</v>
      </c>
      <c r="C90" s="22">
        <f t="shared" ref="C90:E90" si="46">C77/SUM(C77:C78)</f>
        <v>0.20525727479729725</v>
      </c>
      <c r="D90" s="22">
        <f t="shared" si="46"/>
        <v>0.13323612569914761</v>
      </c>
      <c r="E90" s="22">
        <f t="shared" si="46"/>
        <v>0.30965860847917581</v>
      </c>
      <c r="F90" s="18">
        <v>0.3</v>
      </c>
      <c r="G90" s="18">
        <v>0.3</v>
      </c>
      <c r="H90" s="18">
        <v>0.25</v>
      </c>
      <c r="I90" s="18">
        <v>0.2</v>
      </c>
      <c r="J90" s="19">
        <f t="shared" ref="J90:Y90" si="47">I90</f>
        <v>0.2</v>
      </c>
      <c r="K90" s="19">
        <f t="shared" si="47"/>
        <v>0.2</v>
      </c>
      <c r="L90" s="19">
        <f t="shared" si="47"/>
        <v>0.2</v>
      </c>
      <c r="M90" s="19">
        <f t="shared" si="47"/>
        <v>0.2</v>
      </c>
      <c r="N90" s="19">
        <f t="shared" si="47"/>
        <v>0.2</v>
      </c>
      <c r="O90" s="19">
        <f t="shared" si="47"/>
        <v>0.2</v>
      </c>
      <c r="P90" s="19">
        <f t="shared" si="47"/>
        <v>0.2</v>
      </c>
      <c r="Q90" s="19">
        <f t="shared" si="47"/>
        <v>0.2</v>
      </c>
      <c r="R90" s="19">
        <f t="shared" si="47"/>
        <v>0.2</v>
      </c>
      <c r="S90" s="19">
        <f t="shared" si="47"/>
        <v>0.2</v>
      </c>
      <c r="T90" s="19">
        <f t="shared" si="47"/>
        <v>0.2</v>
      </c>
      <c r="U90" s="19">
        <f t="shared" si="47"/>
        <v>0.2</v>
      </c>
      <c r="V90" s="19">
        <f t="shared" si="47"/>
        <v>0.2</v>
      </c>
      <c r="W90" s="19">
        <f t="shared" si="47"/>
        <v>0.2</v>
      </c>
      <c r="X90" s="19">
        <f t="shared" si="47"/>
        <v>0.2</v>
      </c>
      <c r="Y90" s="19">
        <f t="shared" si="47"/>
        <v>0.2</v>
      </c>
    </row>
    <row r="91" spans="1:25" x14ac:dyDescent="0.5">
      <c r="A91" s="14" t="s">
        <v>193</v>
      </c>
      <c r="B91" s="22">
        <f>B79/B78</f>
        <v>1.6345363025115283E-2</v>
      </c>
      <c r="C91" s="22">
        <f t="shared" ref="C91:E91" si="48">C79/C78</f>
        <v>1.7535031420299271E-2</v>
      </c>
      <c r="D91" s="22">
        <f t="shared" si="48"/>
        <v>1.542998197884099E-2</v>
      </c>
      <c r="E91" s="22">
        <f t="shared" si="48"/>
        <v>1.3883421279835138E-2</v>
      </c>
      <c r="F91" s="19">
        <f>AVERAGE(B91:E91)</f>
        <v>1.5798449426022671E-2</v>
      </c>
      <c r="G91" s="19">
        <f t="shared" ref="G91:Y91" si="49">AVERAGE(C91:F91)</f>
        <v>1.5661721026249516E-2</v>
      </c>
      <c r="H91" s="19">
        <f t="shared" si="49"/>
        <v>1.5193393427737078E-2</v>
      </c>
      <c r="I91" s="19">
        <f t="shared" si="49"/>
        <v>1.5134246289961101E-2</v>
      </c>
      <c r="J91" s="19">
        <f t="shared" si="49"/>
        <v>1.5446952542492592E-2</v>
      </c>
      <c r="K91" s="19">
        <f t="shared" si="49"/>
        <v>1.5359078321610072E-2</v>
      </c>
      <c r="L91" s="19">
        <f t="shared" si="49"/>
        <v>1.5283417645450211E-2</v>
      </c>
      <c r="M91" s="19">
        <f t="shared" si="49"/>
        <v>1.5305923699878494E-2</v>
      </c>
      <c r="N91" s="19">
        <f t="shared" si="49"/>
        <v>1.5348843052357843E-2</v>
      </c>
      <c r="O91" s="19">
        <f t="shared" si="49"/>
        <v>1.5324315679824155E-2</v>
      </c>
      <c r="P91" s="19">
        <f t="shared" si="49"/>
        <v>1.5315625019377676E-2</v>
      </c>
      <c r="Q91" s="19">
        <f t="shared" si="49"/>
        <v>1.5323676862859542E-2</v>
      </c>
      <c r="R91" s="19">
        <f t="shared" si="49"/>
        <v>1.5328115153604804E-2</v>
      </c>
      <c r="S91" s="19">
        <f t="shared" si="49"/>
        <v>1.5322933178916545E-2</v>
      </c>
      <c r="T91" s="19">
        <f t="shared" si="49"/>
        <v>1.5322587553689641E-2</v>
      </c>
      <c r="U91" s="19">
        <f t="shared" si="49"/>
        <v>1.5324328187267634E-2</v>
      </c>
      <c r="V91" s="19">
        <f t="shared" si="49"/>
        <v>1.5324491018369656E-2</v>
      </c>
      <c r="W91" s="19">
        <f t="shared" si="49"/>
        <v>1.532358498456087E-2</v>
      </c>
      <c r="X91" s="19">
        <f t="shared" si="49"/>
        <v>1.532374793597195E-2</v>
      </c>
      <c r="Y91" s="19">
        <f t="shared" si="49"/>
        <v>1.5324038031542527E-2</v>
      </c>
    </row>
    <row r="92" spans="1:25" x14ac:dyDescent="0.5">
      <c r="B92" s="22"/>
      <c r="C92" s="22"/>
      <c r="D92" s="22"/>
      <c r="E92" s="22"/>
    </row>
    <row r="93" spans="1:25" x14ac:dyDescent="0.5">
      <c r="A93" s="31" t="s">
        <v>300</v>
      </c>
    </row>
    <row r="94" spans="1:25" x14ac:dyDescent="0.5">
      <c r="A94" s="14" t="s">
        <v>137</v>
      </c>
      <c r="F94" s="14">
        <f>ROUND(D13*D7,0)</f>
        <v>57</v>
      </c>
      <c r="G94" s="14">
        <f>ROUND(E13*E7,0)</f>
        <v>42</v>
      </c>
      <c r="H94" s="14">
        <f t="shared" ref="H94:Y94" si="50">ROUND(F13*F9,0)</f>
        <v>99</v>
      </c>
      <c r="I94" s="14">
        <f t="shared" si="50"/>
        <v>133</v>
      </c>
      <c r="J94" s="14">
        <f t="shared" si="50"/>
        <v>152</v>
      </c>
      <c r="K94" s="14">
        <f t="shared" si="50"/>
        <v>183</v>
      </c>
      <c r="L94" s="14">
        <f t="shared" si="50"/>
        <v>229</v>
      </c>
      <c r="M94" s="14">
        <f t="shared" si="50"/>
        <v>286</v>
      </c>
      <c r="N94" s="14">
        <f t="shared" si="50"/>
        <v>358</v>
      </c>
      <c r="O94" s="14">
        <f t="shared" si="50"/>
        <v>690</v>
      </c>
      <c r="P94" s="14">
        <f t="shared" si="50"/>
        <v>1045</v>
      </c>
      <c r="Q94" s="14">
        <f t="shared" si="50"/>
        <v>1427</v>
      </c>
      <c r="R94" s="14">
        <f t="shared" si="50"/>
        <v>1845</v>
      </c>
      <c r="S94" s="14">
        <f t="shared" si="50"/>
        <v>2306</v>
      </c>
      <c r="T94" s="14">
        <f t="shared" si="50"/>
        <v>2822</v>
      </c>
      <c r="U94" s="14">
        <f t="shared" si="50"/>
        <v>3406</v>
      </c>
      <c r="V94" s="14">
        <f t="shared" si="50"/>
        <v>4075</v>
      </c>
      <c r="W94" s="14">
        <f t="shared" si="50"/>
        <v>4850</v>
      </c>
      <c r="X94" s="14">
        <f t="shared" si="50"/>
        <v>5759</v>
      </c>
      <c r="Y94" s="14">
        <f t="shared" si="50"/>
        <v>6835</v>
      </c>
    </row>
    <row r="95" spans="1:25" x14ac:dyDescent="0.5">
      <c r="A95" s="14" t="s">
        <v>136</v>
      </c>
      <c r="F95" s="14">
        <f>ROUND(C13*C7,0)</f>
        <v>33</v>
      </c>
      <c r="G95" s="14">
        <f>ROUND(D13*D7,0)</f>
        <v>57</v>
      </c>
      <c r="H95" s="14">
        <f>ROUND(E13*E7,0)</f>
        <v>42</v>
      </c>
      <c r="I95" s="14">
        <f t="shared" ref="I95:Y95" si="51">ROUND(F13*F9,0)</f>
        <v>99</v>
      </c>
      <c r="J95" s="14">
        <f t="shared" si="51"/>
        <v>133</v>
      </c>
      <c r="K95" s="14">
        <f t="shared" si="51"/>
        <v>152</v>
      </c>
      <c r="L95" s="14">
        <f t="shared" si="51"/>
        <v>183</v>
      </c>
      <c r="M95" s="14">
        <f t="shared" si="51"/>
        <v>229</v>
      </c>
      <c r="N95" s="14">
        <f t="shared" si="51"/>
        <v>286</v>
      </c>
      <c r="O95" s="14">
        <f t="shared" si="51"/>
        <v>358</v>
      </c>
      <c r="P95" s="14">
        <f t="shared" si="51"/>
        <v>690</v>
      </c>
      <c r="Q95" s="14">
        <f t="shared" si="51"/>
        <v>1045</v>
      </c>
      <c r="R95" s="14">
        <f t="shared" si="51"/>
        <v>1427</v>
      </c>
      <c r="S95" s="14">
        <f t="shared" si="51"/>
        <v>1845</v>
      </c>
      <c r="T95" s="14">
        <f t="shared" si="51"/>
        <v>2306</v>
      </c>
      <c r="U95" s="14">
        <f t="shared" si="51"/>
        <v>2822</v>
      </c>
      <c r="V95" s="14">
        <f t="shared" si="51"/>
        <v>3406</v>
      </c>
      <c r="W95" s="14">
        <f t="shared" si="51"/>
        <v>4075</v>
      </c>
      <c r="X95" s="14">
        <f t="shared" si="51"/>
        <v>4850</v>
      </c>
      <c r="Y95" s="14">
        <f t="shared" si="51"/>
        <v>5759</v>
      </c>
    </row>
    <row r="96" spans="1:25" x14ac:dyDescent="0.5">
      <c r="A96" s="14" t="s">
        <v>138</v>
      </c>
      <c r="F96" s="14">
        <f>ROUND(B13*B7,0)</f>
        <v>29</v>
      </c>
      <c r="G96" s="14">
        <f>ROUND(C13*C7,0)</f>
        <v>33</v>
      </c>
      <c r="H96" s="14">
        <f>ROUND(D13*D7,0)</f>
        <v>57</v>
      </c>
      <c r="I96" s="14">
        <f>ROUND(E13*E7,0)</f>
        <v>42</v>
      </c>
      <c r="J96" s="14">
        <f t="shared" ref="J96:Y96" si="52">ROUND(F13*F9,0)</f>
        <v>99</v>
      </c>
      <c r="K96" s="14">
        <f t="shared" si="52"/>
        <v>133</v>
      </c>
      <c r="L96" s="14">
        <f t="shared" si="52"/>
        <v>152</v>
      </c>
      <c r="M96" s="14">
        <f t="shared" si="52"/>
        <v>183</v>
      </c>
      <c r="N96" s="14">
        <f t="shared" si="52"/>
        <v>229</v>
      </c>
      <c r="O96" s="14">
        <f t="shared" si="52"/>
        <v>286</v>
      </c>
      <c r="P96" s="14">
        <f t="shared" si="52"/>
        <v>358</v>
      </c>
      <c r="Q96" s="14">
        <f t="shared" si="52"/>
        <v>690</v>
      </c>
      <c r="R96" s="14">
        <f t="shared" si="52"/>
        <v>1045</v>
      </c>
      <c r="S96" s="14">
        <f t="shared" si="52"/>
        <v>1427</v>
      </c>
      <c r="T96" s="14">
        <f t="shared" si="52"/>
        <v>1845</v>
      </c>
      <c r="U96" s="14">
        <f t="shared" si="52"/>
        <v>2306</v>
      </c>
      <c r="V96" s="14">
        <f t="shared" si="52"/>
        <v>2822</v>
      </c>
      <c r="W96" s="14">
        <f t="shared" si="52"/>
        <v>3406</v>
      </c>
      <c r="X96" s="14">
        <f t="shared" si="52"/>
        <v>4075</v>
      </c>
      <c r="Y96" s="14">
        <f t="shared" si="52"/>
        <v>4850</v>
      </c>
    </row>
    <row r="98" spans="1:25" x14ac:dyDescent="0.5">
      <c r="A98" s="31" t="s">
        <v>301</v>
      </c>
    </row>
    <row r="99" spans="1:25" x14ac:dyDescent="0.5">
      <c r="A99" s="14" t="s">
        <v>137</v>
      </c>
      <c r="F99" s="14">
        <f t="shared" ref="F99:Y99" si="53">ROUND(D14*D8,0)</f>
        <v>0</v>
      </c>
      <c r="G99" s="14">
        <f t="shared" si="53"/>
        <v>0</v>
      </c>
      <c r="H99" s="14">
        <f t="shared" si="53"/>
        <v>0</v>
      </c>
      <c r="I99" s="14">
        <f t="shared" si="53"/>
        <v>0</v>
      </c>
      <c r="J99" s="14">
        <f t="shared" si="53"/>
        <v>0</v>
      </c>
      <c r="K99" s="14">
        <f t="shared" si="53"/>
        <v>0</v>
      </c>
      <c r="L99" s="14">
        <f t="shared" si="53"/>
        <v>0</v>
      </c>
      <c r="M99" s="14">
        <f t="shared" si="53"/>
        <v>0</v>
      </c>
      <c r="N99" s="14">
        <f t="shared" si="53"/>
        <v>0</v>
      </c>
      <c r="O99" s="14">
        <f t="shared" si="53"/>
        <v>365</v>
      </c>
      <c r="P99" s="14">
        <f t="shared" si="53"/>
        <v>729</v>
      </c>
      <c r="Q99" s="14">
        <f t="shared" si="53"/>
        <v>1094</v>
      </c>
      <c r="R99" s="14">
        <f t="shared" si="53"/>
        <v>1458</v>
      </c>
      <c r="S99" s="14">
        <f t="shared" si="53"/>
        <v>1823</v>
      </c>
      <c r="T99" s="14">
        <f t="shared" si="53"/>
        <v>2187</v>
      </c>
      <c r="U99" s="14">
        <f t="shared" si="53"/>
        <v>2552</v>
      </c>
      <c r="V99" s="14">
        <f t="shared" si="53"/>
        <v>2916</v>
      </c>
      <c r="W99" s="14">
        <f t="shared" si="53"/>
        <v>3281</v>
      </c>
      <c r="X99" s="14">
        <f t="shared" si="53"/>
        <v>3645</v>
      </c>
      <c r="Y99" s="14">
        <f t="shared" si="53"/>
        <v>4010</v>
      </c>
    </row>
    <row r="100" spans="1:25" x14ac:dyDescent="0.5">
      <c r="A100" s="14" t="s">
        <v>136</v>
      </c>
      <c r="F100" s="14">
        <f t="shared" ref="F100:Y100" si="54">ROUND(C14*C8,0)</f>
        <v>0</v>
      </c>
      <c r="G100" s="14">
        <f t="shared" si="54"/>
        <v>0</v>
      </c>
      <c r="H100" s="14">
        <f t="shared" si="54"/>
        <v>0</v>
      </c>
      <c r="I100" s="14">
        <f t="shared" si="54"/>
        <v>0</v>
      </c>
      <c r="J100" s="14">
        <f t="shared" si="54"/>
        <v>0</v>
      </c>
      <c r="K100" s="14">
        <f t="shared" si="54"/>
        <v>0</v>
      </c>
      <c r="L100" s="14">
        <f t="shared" si="54"/>
        <v>0</v>
      </c>
      <c r="M100" s="14">
        <f t="shared" si="54"/>
        <v>0</v>
      </c>
      <c r="N100" s="14">
        <f t="shared" si="54"/>
        <v>0</v>
      </c>
      <c r="O100" s="14">
        <f t="shared" si="54"/>
        <v>0</v>
      </c>
      <c r="P100" s="14">
        <f t="shared" si="54"/>
        <v>365</v>
      </c>
      <c r="Q100" s="14">
        <f t="shared" si="54"/>
        <v>729</v>
      </c>
      <c r="R100" s="14">
        <f t="shared" si="54"/>
        <v>1094</v>
      </c>
      <c r="S100" s="14">
        <f t="shared" si="54"/>
        <v>1458</v>
      </c>
      <c r="T100" s="14">
        <f t="shared" si="54"/>
        <v>1823</v>
      </c>
      <c r="U100" s="14">
        <f t="shared" si="54"/>
        <v>2187</v>
      </c>
      <c r="V100" s="14">
        <f t="shared" si="54"/>
        <v>2552</v>
      </c>
      <c r="W100" s="14">
        <f t="shared" si="54"/>
        <v>2916</v>
      </c>
      <c r="X100" s="14">
        <f t="shared" si="54"/>
        <v>3281</v>
      </c>
      <c r="Y100" s="14">
        <f t="shared" si="54"/>
        <v>3645</v>
      </c>
    </row>
    <row r="101" spans="1:25" x14ac:dyDescent="0.5">
      <c r="A101" s="14" t="s">
        <v>138</v>
      </c>
      <c r="F101" s="14">
        <f t="shared" ref="F101:Y101" si="55">ROUND(B14*B8,0)</f>
        <v>0</v>
      </c>
      <c r="G101" s="14">
        <f t="shared" si="55"/>
        <v>0</v>
      </c>
      <c r="H101" s="14">
        <f t="shared" si="55"/>
        <v>0</v>
      </c>
      <c r="I101" s="14">
        <f t="shared" si="55"/>
        <v>0</v>
      </c>
      <c r="J101" s="14">
        <f t="shared" si="55"/>
        <v>0</v>
      </c>
      <c r="K101" s="14">
        <f t="shared" si="55"/>
        <v>0</v>
      </c>
      <c r="L101" s="14">
        <f t="shared" si="55"/>
        <v>0</v>
      </c>
      <c r="M101" s="14">
        <f t="shared" si="55"/>
        <v>0</v>
      </c>
      <c r="N101" s="14">
        <f t="shared" si="55"/>
        <v>0</v>
      </c>
      <c r="O101" s="14">
        <f t="shared" si="55"/>
        <v>0</v>
      </c>
      <c r="P101" s="14">
        <f t="shared" si="55"/>
        <v>0</v>
      </c>
      <c r="Q101" s="14">
        <f t="shared" si="55"/>
        <v>365</v>
      </c>
      <c r="R101" s="14">
        <f t="shared" si="55"/>
        <v>729</v>
      </c>
      <c r="S101" s="14">
        <f t="shared" si="55"/>
        <v>1094</v>
      </c>
      <c r="T101" s="14">
        <f t="shared" si="55"/>
        <v>1458</v>
      </c>
      <c r="U101" s="14">
        <f t="shared" si="55"/>
        <v>1823</v>
      </c>
      <c r="V101" s="14">
        <f t="shared" si="55"/>
        <v>2187</v>
      </c>
      <c r="W101" s="14">
        <f t="shared" si="55"/>
        <v>2552</v>
      </c>
      <c r="X101" s="14">
        <f t="shared" si="55"/>
        <v>2916</v>
      </c>
      <c r="Y101" s="14">
        <f t="shared" si="55"/>
        <v>3281</v>
      </c>
    </row>
    <row r="103" spans="1:25" x14ac:dyDescent="0.5">
      <c r="A103" s="31" t="s">
        <v>143</v>
      </c>
    </row>
    <row r="104" spans="1:25" x14ac:dyDescent="0.5">
      <c r="A104" s="14" t="s">
        <v>137</v>
      </c>
      <c r="H104" s="14">
        <f t="shared" ref="H104:Y104" si="56">F30*F13</f>
        <v>16500</v>
      </c>
      <c r="I104" s="14">
        <f t="shared" si="56"/>
        <v>22106.7</v>
      </c>
      <c r="J104" s="14">
        <f t="shared" si="56"/>
        <v>25422.705000000005</v>
      </c>
      <c r="K104" s="14">
        <f t="shared" si="56"/>
        <v>30507.246000000006</v>
      </c>
      <c r="L104" s="14">
        <f t="shared" si="56"/>
        <v>38134.057500000003</v>
      </c>
      <c r="M104" s="14">
        <f t="shared" si="56"/>
        <v>47667.571875000009</v>
      </c>
      <c r="N104" s="14">
        <f t="shared" si="56"/>
        <v>59584.464843750007</v>
      </c>
      <c r="O104" s="14">
        <f t="shared" si="56"/>
        <v>74480.581054687515</v>
      </c>
      <c r="P104" s="14">
        <f t="shared" si="56"/>
        <v>93100.726318359404</v>
      </c>
      <c r="Q104" s="14">
        <f t="shared" si="56"/>
        <v>116375.90789794925</v>
      </c>
      <c r="R104" s="14">
        <f t="shared" si="56"/>
        <v>145469.88487243655</v>
      </c>
      <c r="S104" s="14">
        <f t="shared" si="56"/>
        <v>181837.35609054571</v>
      </c>
      <c r="T104" s="14">
        <f t="shared" si="56"/>
        <v>227296.69511318213</v>
      </c>
      <c r="U104" s="14">
        <f t="shared" si="56"/>
        <v>284120.86889147764</v>
      </c>
      <c r="V104" s="14">
        <f t="shared" si="56"/>
        <v>355151.0861143471</v>
      </c>
      <c r="W104" s="14">
        <f t="shared" si="56"/>
        <v>443938.85764293384</v>
      </c>
      <c r="X104" s="14">
        <f t="shared" si="56"/>
        <v>554923.57205366727</v>
      </c>
      <c r="Y104" s="14">
        <f t="shared" si="56"/>
        <v>693654.46506708418</v>
      </c>
    </row>
    <row r="105" spans="1:25" x14ac:dyDescent="0.5">
      <c r="A105" s="14" t="s">
        <v>136</v>
      </c>
      <c r="I105" s="14">
        <f t="shared" ref="I105:Y105" si="57">F30*F13</f>
        <v>16500</v>
      </c>
      <c r="J105" s="14">
        <f t="shared" si="57"/>
        <v>22106.7</v>
      </c>
      <c r="K105" s="14">
        <f t="shared" si="57"/>
        <v>25422.705000000005</v>
      </c>
      <c r="L105" s="14">
        <f t="shared" si="57"/>
        <v>30507.246000000006</v>
      </c>
      <c r="M105" s="14">
        <f t="shared" si="57"/>
        <v>38134.057500000003</v>
      </c>
      <c r="N105" s="14">
        <f t="shared" si="57"/>
        <v>47667.571875000009</v>
      </c>
      <c r="O105" s="14">
        <f t="shared" si="57"/>
        <v>59584.464843750007</v>
      </c>
      <c r="P105" s="14">
        <f t="shared" si="57"/>
        <v>74480.581054687515</v>
      </c>
      <c r="Q105" s="14">
        <f t="shared" si="57"/>
        <v>93100.726318359404</v>
      </c>
      <c r="R105" s="14">
        <f t="shared" si="57"/>
        <v>116375.90789794925</v>
      </c>
      <c r="S105" s="14">
        <f t="shared" si="57"/>
        <v>145469.88487243655</v>
      </c>
      <c r="T105" s="14">
        <f t="shared" si="57"/>
        <v>181837.35609054571</v>
      </c>
      <c r="U105" s="14">
        <f t="shared" si="57"/>
        <v>227296.69511318213</v>
      </c>
      <c r="V105" s="14">
        <f t="shared" si="57"/>
        <v>284120.86889147764</v>
      </c>
      <c r="W105" s="14">
        <f t="shared" si="57"/>
        <v>355151.0861143471</v>
      </c>
      <c r="X105" s="14">
        <f t="shared" si="57"/>
        <v>443938.85764293384</v>
      </c>
      <c r="Y105" s="14">
        <f t="shared" si="57"/>
        <v>554923.57205366727</v>
      </c>
    </row>
    <row r="106" spans="1:25" x14ac:dyDescent="0.5">
      <c r="A106" s="14" t="s">
        <v>138</v>
      </c>
      <c r="J106" s="14">
        <f t="shared" ref="J106:Y106" si="58">F30*F13</f>
        <v>16500</v>
      </c>
      <c r="K106" s="14">
        <f t="shared" si="58"/>
        <v>22106.7</v>
      </c>
      <c r="L106" s="14">
        <f t="shared" si="58"/>
        <v>25422.705000000005</v>
      </c>
      <c r="M106" s="14">
        <f t="shared" si="58"/>
        <v>30507.246000000006</v>
      </c>
      <c r="N106" s="14">
        <f t="shared" si="58"/>
        <v>38134.057500000003</v>
      </c>
      <c r="O106" s="14">
        <f t="shared" si="58"/>
        <v>47667.571875000009</v>
      </c>
      <c r="P106" s="14">
        <f t="shared" si="58"/>
        <v>59584.464843750007</v>
      </c>
      <c r="Q106" s="14">
        <f t="shared" si="58"/>
        <v>74480.581054687515</v>
      </c>
      <c r="R106" s="14">
        <f t="shared" si="58"/>
        <v>93100.726318359404</v>
      </c>
      <c r="S106" s="14">
        <f t="shared" si="58"/>
        <v>116375.90789794925</v>
      </c>
      <c r="T106" s="14">
        <f t="shared" si="58"/>
        <v>145469.88487243655</v>
      </c>
      <c r="U106" s="14">
        <f t="shared" si="58"/>
        <v>181837.35609054571</v>
      </c>
      <c r="V106" s="14">
        <f t="shared" si="58"/>
        <v>227296.69511318213</v>
      </c>
      <c r="W106" s="14">
        <f t="shared" si="58"/>
        <v>284120.86889147764</v>
      </c>
      <c r="X106" s="14">
        <f t="shared" si="58"/>
        <v>355151.0861143471</v>
      </c>
      <c r="Y106" s="14">
        <f t="shared" si="58"/>
        <v>443938.85764293384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3534-B163-4FCD-8442-FA3D02413136}">
  <sheetPr>
    <tabColor theme="8" tint="0.79998168889431442"/>
  </sheetPr>
  <dimension ref="A1:Y62"/>
  <sheetViews>
    <sheetView zoomScaleNormal="100" workbookViewId="0"/>
  </sheetViews>
  <sheetFormatPr defaultColWidth="8.83203125" defaultRowHeight="10.5" x14ac:dyDescent="0.5"/>
  <cols>
    <col min="1" max="1" width="24.4140625" style="14" customWidth="1"/>
    <col min="2" max="5" width="8.83203125" style="23"/>
    <col min="6" max="16384" width="8.83203125" style="14"/>
  </cols>
  <sheetData>
    <row r="1" spans="1:25" s="13" customFormat="1" x14ac:dyDescent="0.5">
      <c r="A1" s="15" t="s">
        <v>118</v>
      </c>
      <c r="B1" s="20"/>
      <c r="C1" s="20"/>
      <c r="D1" s="20"/>
      <c r="E1" s="20"/>
    </row>
    <row r="2" spans="1:25" s="13" customFormat="1" x14ac:dyDescent="0.5">
      <c r="B2" s="20"/>
      <c r="C2" s="20"/>
      <c r="D2" s="20"/>
      <c r="E2" s="20"/>
    </row>
    <row r="3" spans="1:25" s="13" customFormat="1" x14ac:dyDescent="0.5">
      <c r="A3" s="13" t="s">
        <v>119</v>
      </c>
      <c r="B3" s="20">
        <v>2022</v>
      </c>
      <c r="C3" s="20">
        <v>2022</v>
      </c>
      <c r="D3" s="20">
        <v>2022</v>
      </c>
      <c r="E3" s="20">
        <v>2022</v>
      </c>
      <c r="F3" s="13">
        <f>B3+1</f>
        <v>2023</v>
      </c>
      <c r="G3" s="13">
        <f t="shared" ref="G3:N3" si="0">C3+1</f>
        <v>2023</v>
      </c>
      <c r="H3" s="13">
        <f t="shared" si="0"/>
        <v>2023</v>
      </c>
      <c r="I3" s="13">
        <f t="shared" si="0"/>
        <v>2023</v>
      </c>
      <c r="J3" s="13">
        <f t="shared" si="0"/>
        <v>2024</v>
      </c>
      <c r="K3" s="13">
        <f t="shared" si="0"/>
        <v>2024</v>
      </c>
      <c r="L3" s="13">
        <f t="shared" si="0"/>
        <v>2024</v>
      </c>
      <c r="M3" s="13">
        <f t="shared" si="0"/>
        <v>2024</v>
      </c>
      <c r="N3" s="13">
        <f t="shared" si="0"/>
        <v>2025</v>
      </c>
      <c r="O3" s="13">
        <f t="shared" ref="O3" si="1">K3+1</f>
        <v>2025</v>
      </c>
      <c r="P3" s="13">
        <f t="shared" ref="P3" si="2">L3+1</f>
        <v>2025</v>
      </c>
      <c r="Q3" s="13">
        <f t="shared" ref="Q3" si="3">M3+1</f>
        <v>2025</v>
      </c>
      <c r="R3" s="13">
        <f t="shared" ref="R3" si="4">N3+1</f>
        <v>2026</v>
      </c>
      <c r="S3" s="13">
        <f t="shared" ref="S3" si="5">O3+1</f>
        <v>2026</v>
      </c>
      <c r="T3" s="13">
        <f t="shared" ref="T3" si="6">P3+1</f>
        <v>2026</v>
      </c>
      <c r="U3" s="13">
        <f t="shared" ref="U3" si="7">Q3+1</f>
        <v>2026</v>
      </c>
      <c r="V3" s="13">
        <f t="shared" ref="V3" si="8">R3+1</f>
        <v>2027</v>
      </c>
      <c r="W3" s="13">
        <f t="shared" ref="W3" si="9">S3+1</f>
        <v>2027</v>
      </c>
      <c r="X3" s="13">
        <f t="shared" ref="X3" si="10">T3+1</f>
        <v>2027</v>
      </c>
      <c r="Y3" s="13">
        <f t="shared" ref="Y3" si="11">U3+1</f>
        <v>2027</v>
      </c>
    </row>
    <row r="4" spans="1:25" s="13" customFormat="1" x14ac:dyDescent="0.5">
      <c r="A4" s="13" t="s">
        <v>120</v>
      </c>
      <c r="B4" s="20">
        <v>1</v>
      </c>
      <c r="C4" s="20">
        <f>B4+1</f>
        <v>2</v>
      </c>
      <c r="D4" s="20">
        <f t="shared" ref="D4:E4" si="12">C4+1</f>
        <v>3</v>
      </c>
      <c r="E4" s="20">
        <f t="shared" si="12"/>
        <v>4</v>
      </c>
      <c r="F4" s="13">
        <f>B4</f>
        <v>1</v>
      </c>
      <c r="G4" s="13">
        <f t="shared" ref="G4:N4" si="13">C4</f>
        <v>2</v>
      </c>
      <c r="H4" s="13">
        <f t="shared" si="13"/>
        <v>3</v>
      </c>
      <c r="I4" s="13">
        <f t="shared" si="13"/>
        <v>4</v>
      </c>
      <c r="J4" s="13">
        <f t="shared" si="13"/>
        <v>1</v>
      </c>
      <c r="K4" s="13">
        <f t="shared" si="13"/>
        <v>2</v>
      </c>
      <c r="L4" s="13">
        <f t="shared" si="13"/>
        <v>3</v>
      </c>
      <c r="M4" s="13">
        <f t="shared" si="13"/>
        <v>4</v>
      </c>
      <c r="N4" s="13">
        <f t="shared" si="13"/>
        <v>1</v>
      </c>
      <c r="O4" s="13">
        <f t="shared" ref="O4" si="14">K4</f>
        <v>2</v>
      </c>
      <c r="P4" s="13">
        <f t="shared" ref="P4" si="15">L4</f>
        <v>3</v>
      </c>
      <c r="Q4" s="13">
        <f t="shared" ref="Q4" si="16">M4</f>
        <v>4</v>
      </c>
      <c r="R4" s="13">
        <f t="shared" ref="R4" si="17">N4</f>
        <v>1</v>
      </c>
      <c r="S4" s="13">
        <f t="shared" ref="S4" si="18">O4</f>
        <v>2</v>
      </c>
      <c r="T4" s="13">
        <f t="shared" ref="T4" si="19">P4</f>
        <v>3</v>
      </c>
      <c r="U4" s="13">
        <f t="shared" ref="U4" si="20">Q4</f>
        <v>4</v>
      </c>
      <c r="V4" s="13">
        <f t="shared" ref="V4" si="21">R4</f>
        <v>1</v>
      </c>
      <c r="W4" s="13">
        <f t="shared" ref="W4" si="22">S4</f>
        <v>2</v>
      </c>
      <c r="X4" s="13">
        <f t="shared" ref="X4" si="23">T4</f>
        <v>3</v>
      </c>
      <c r="Y4" s="13">
        <f t="shared" ref="Y4" si="24">U4</f>
        <v>4</v>
      </c>
    </row>
    <row r="5" spans="1:25" s="13" customFormat="1" x14ac:dyDescent="0.5">
      <c r="B5" s="20"/>
      <c r="C5" s="20"/>
      <c r="D5" s="20"/>
      <c r="E5" s="20"/>
    </row>
    <row r="6" spans="1:25" s="13" customFormat="1" x14ac:dyDescent="0.5">
      <c r="B6" s="20"/>
      <c r="C6" s="20"/>
      <c r="D6" s="20"/>
      <c r="E6" s="20"/>
    </row>
    <row r="7" spans="1:25" s="13" customFormat="1" x14ac:dyDescent="0.5">
      <c r="A7" s="75" t="s">
        <v>302</v>
      </c>
      <c r="B7" s="20"/>
      <c r="C7" s="20"/>
      <c r="D7" s="20"/>
      <c r="E7" s="20"/>
    </row>
    <row r="8" spans="1:25" s="13" customFormat="1" x14ac:dyDescent="0.5">
      <c r="B8" s="20"/>
      <c r="C8" s="20"/>
      <c r="D8" s="20"/>
      <c r="E8" s="20"/>
    </row>
    <row r="9" spans="1:25" x14ac:dyDescent="0.5">
      <c r="A9" s="14" t="s">
        <v>121</v>
      </c>
      <c r="B9" s="21">
        <f>'P&amp;L-Q'!O24</f>
        <v>1504.99</v>
      </c>
      <c r="C9" s="21">
        <f>'P&amp;L-Q'!P24</f>
        <v>9702.31</v>
      </c>
      <c r="D9" s="21">
        <f>'P&amp;L-Q'!Q24</f>
        <v>14847.65</v>
      </c>
      <c r="E9" s="21">
        <f>'P&amp;L-Q'!R24</f>
        <v>10043.950000000001</v>
      </c>
      <c r="F9" s="17">
        <v>15631</v>
      </c>
      <c r="G9" s="14">
        <f t="shared" ref="G9:I9" si="25">F9*(1+G10)</f>
        <v>17194.100000000002</v>
      </c>
      <c r="H9" s="14">
        <f t="shared" si="25"/>
        <v>19773.215</v>
      </c>
      <c r="I9" s="14">
        <f t="shared" si="25"/>
        <v>23727.858</v>
      </c>
      <c r="J9" s="14">
        <f t="shared" ref="J9" si="26">I9*(1+J10)</f>
        <v>29659.822500000002</v>
      </c>
      <c r="K9" s="14">
        <f t="shared" ref="K9" si="27">J9*(1+K10)</f>
        <v>37074.778125000004</v>
      </c>
      <c r="L9" s="14">
        <f t="shared" ref="L9" si="28">K9*(1+L10)</f>
        <v>46343.472656250007</v>
      </c>
      <c r="M9" s="14">
        <f t="shared" ref="M9" si="29">L9*(1+M10)</f>
        <v>57929.340820312507</v>
      </c>
      <c r="N9" s="14">
        <f t="shared" ref="N9" si="30">M9*(1+N10)</f>
        <v>72411.67602539064</v>
      </c>
      <c r="O9" s="14">
        <f t="shared" ref="O9" si="31">N9*(1+O10)</f>
        <v>90514.595031738296</v>
      </c>
      <c r="P9" s="14">
        <f t="shared" ref="P9" si="32">O9*(1+P10)</f>
        <v>113143.24378967287</v>
      </c>
      <c r="Q9" s="14">
        <f t="shared" ref="Q9" si="33">P9*(1+Q10)</f>
        <v>141429.05473709109</v>
      </c>
      <c r="R9" s="14">
        <f t="shared" ref="R9" si="34">Q9*(1+R10)</f>
        <v>176786.31842136386</v>
      </c>
      <c r="S9" s="14">
        <f t="shared" ref="S9" si="35">R9*(1+S10)</f>
        <v>220982.89802670482</v>
      </c>
      <c r="T9" s="14">
        <f t="shared" ref="T9" si="36">S9*(1+T10)</f>
        <v>276228.62253338104</v>
      </c>
      <c r="U9" s="14">
        <f t="shared" ref="U9" si="37">T9*(1+U10)</f>
        <v>345285.77816672629</v>
      </c>
      <c r="V9" s="14">
        <f t="shared" ref="V9" si="38">U9*(1+V10)</f>
        <v>431607.22270840785</v>
      </c>
      <c r="W9" s="14">
        <f t="shared" ref="W9" si="39">V9*(1+W10)</f>
        <v>539509.02838550985</v>
      </c>
      <c r="X9" s="14">
        <f t="shared" ref="X9" si="40">W9*(1+X10)</f>
        <v>674386.28548188729</v>
      </c>
      <c r="Y9" s="14">
        <f t="shared" ref="Y9" si="41">X9*(1+Y10)</f>
        <v>842982.85685235914</v>
      </c>
    </row>
    <row r="10" spans="1:25" x14ac:dyDescent="0.5">
      <c r="A10" s="14" t="s">
        <v>124</v>
      </c>
      <c r="B10" s="21"/>
      <c r="C10" s="22">
        <f>C9/B9-1</f>
        <v>5.4467604435909873</v>
      </c>
      <c r="D10" s="22">
        <f>D9/C9-1</f>
        <v>0.53032112971034739</v>
      </c>
      <c r="E10" s="22">
        <f>E9/D9-1</f>
        <v>-0.32353268025579796</v>
      </c>
      <c r="F10" s="19">
        <f>F9/E9-1</f>
        <v>0.55626023626163001</v>
      </c>
      <c r="G10" s="18">
        <v>0.1</v>
      </c>
      <c r="H10" s="18">
        <v>0.15</v>
      </c>
      <c r="I10" s="18">
        <v>0.2</v>
      </c>
      <c r="J10" s="76">
        <f>Highlights!B7</f>
        <v>0.25</v>
      </c>
      <c r="K10" s="19">
        <f t="shared" ref="K10:N10" si="42">J10</f>
        <v>0.25</v>
      </c>
      <c r="L10" s="19">
        <f t="shared" si="42"/>
        <v>0.25</v>
      </c>
      <c r="M10" s="19">
        <f t="shared" si="42"/>
        <v>0.25</v>
      </c>
      <c r="N10" s="19">
        <f t="shared" si="42"/>
        <v>0.25</v>
      </c>
      <c r="O10" s="19">
        <f t="shared" ref="O10:Y10" si="43">N10</f>
        <v>0.25</v>
      </c>
      <c r="P10" s="19">
        <f t="shared" si="43"/>
        <v>0.25</v>
      </c>
      <c r="Q10" s="19">
        <f t="shared" si="43"/>
        <v>0.25</v>
      </c>
      <c r="R10" s="19">
        <f t="shared" si="43"/>
        <v>0.25</v>
      </c>
      <c r="S10" s="19">
        <f t="shared" si="43"/>
        <v>0.25</v>
      </c>
      <c r="T10" s="19">
        <f t="shared" si="43"/>
        <v>0.25</v>
      </c>
      <c r="U10" s="19">
        <f t="shared" si="43"/>
        <v>0.25</v>
      </c>
      <c r="V10" s="19">
        <f t="shared" si="43"/>
        <v>0.25</v>
      </c>
      <c r="W10" s="19">
        <f t="shared" si="43"/>
        <v>0.25</v>
      </c>
      <c r="X10" s="19">
        <f t="shared" si="43"/>
        <v>0.25</v>
      </c>
      <c r="Y10" s="19">
        <f t="shared" si="43"/>
        <v>0.25</v>
      </c>
    </row>
    <row r="11" spans="1:25" x14ac:dyDescent="0.5">
      <c r="A11" s="14" t="s">
        <v>122</v>
      </c>
      <c r="C11" s="23">
        <f t="shared" ref="C11:E11" si="44">C9/C12</f>
        <v>27.025933147632312</v>
      </c>
      <c r="D11" s="23">
        <f t="shared" si="44"/>
        <v>37.212155388471174</v>
      </c>
      <c r="E11" s="23">
        <f t="shared" si="44"/>
        <v>34.04728813559322</v>
      </c>
      <c r="F11" s="14">
        <f>CHOOSE(F20,F21,F22)</f>
        <v>35</v>
      </c>
      <c r="G11" s="14">
        <f t="shared" ref="G11:N11" si="45">CHOOSE(G20,G21,G22)</f>
        <v>23.333333333333332</v>
      </c>
      <c r="H11" s="14">
        <f t="shared" si="45"/>
        <v>23.333333333333332</v>
      </c>
      <c r="I11" s="14">
        <f t="shared" si="45"/>
        <v>23.333333333333332</v>
      </c>
      <c r="J11" s="14">
        <f t="shared" si="45"/>
        <v>23.333333333333332</v>
      </c>
      <c r="K11" s="14">
        <f t="shared" si="45"/>
        <v>23.333333333333332</v>
      </c>
      <c r="L11" s="14">
        <f t="shared" si="45"/>
        <v>23.333333333333332</v>
      </c>
      <c r="M11" s="14">
        <f t="shared" si="45"/>
        <v>23.333333333333332</v>
      </c>
      <c r="N11" s="14">
        <f t="shared" si="45"/>
        <v>23.333333333333332</v>
      </c>
      <c r="O11" s="14">
        <f t="shared" ref="O11:Y11" si="46">CHOOSE(O20,O21,O22)</f>
        <v>23.333333333333332</v>
      </c>
      <c r="P11" s="14">
        <f t="shared" si="46"/>
        <v>23.333333333333332</v>
      </c>
      <c r="Q11" s="14">
        <f t="shared" si="46"/>
        <v>23.333333333333332</v>
      </c>
      <c r="R11" s="14">
        <f t="shared" si="46"/>
        <v>23.333333333333332</v>
      </c>
      <c r="S11" s="14">
        <f t="shared" si="46"/>
        <v>23.333333333333332</v>
      </c>
      <c r="T11" s="14">
        <f t="shared" si="46"/>
        <v>23.333333333333332</v>
      </c>
      <c r="U11" s="14">
        <f t="shared" si="46"/>
        <v>23.333333333333332</v>
      </c>
      <c r="V11" s="14">
        <f t="shared" si="46"/>
        <v>23.333333333333332</v>
      </c>
      <c r="W11" s="14">
        <f t="shared" si="46"/>
        <v>23.333333333333332</v>
      </c>
      <c r="X11" s="14">
        <f t="shared" si="46"/>
        <v>23.333333333333332</v>
      </c>
      <c r="Y11" s="14">
        <f t="shared" si="46"/>
        <v>23.333333333333332</v>
      </c>
    </row>
    <row r="12" spans="1:25" x14ac:dyDescent="0.5">
      <c r="A12" s="14" t="s">
        <v>303</v>
      </c>
      <c r="B12" s="24">
        <v>187</v>
      </c>
      <c r="C12" s="24">
        <v>359</v>
      </c>
      <c r="D12" s="24">
        <v>399</v>
      </c>
      <c r="E12" s="24">
        <v>295</v>
      </c>
      <c r="F12" s="17">
        <v>500</v>
      </c>
      <c r="G12" s="14">
        <f t="shared" ref="G12:I12" si="47">G9/G11</f>
        <v>736.8900000000001</v>
      </c>
      <c r="H12" s="14">
        <f t="shared" si="47"/>
        <v>847.4235000000001</v>
      </c>
      <c r="I12" s="14">
        <f t="shared" si="47"/>
        <v>1016.9082000000001</v>
      </c>
      <c r="J12" s="14">
        <f t="shared" ref="J12" si="48">J9/J11</f>
        <v>1271.13525</v>
      </c>
      <c r="K12" s="14">
        <f t="shared" ref="K12" si="49">K9/K11</f>
        <v>1588.9190625000003</v>
      </c>
      <c r="L12" s="14">
        <f t="shared" ref="L12" si="50">L9/L11</f>
        <v>1986.1488281250004</v>
      </c>
      <c r="M12" s="14">
        <f t="shared" ref="M12" si="51">M9/M11</f>
        <v>2482.6860351562505</v>
      </c>
      <c r="N12" s="14">
        <f t="shared" ref="N12" si="52">N9/N11</f>
        <v>3103.3575439453134</v>
      </c>
      <c r="O12" s="14">
        <f t="shared" ref="O12" si="53">O9/O11</f>
        <v>3879.1969299316415</v>
      </c>
      <c r="P12" s="14">
        <f t="shared" ref="P12" si="54">P9/P11</f>
        <v>4848.9961624145517</v>
      </c>
      <c r="Q12" s="14">
        <f t="shared" ref="Q12" si="55">Q9/Q11</f>
        <v>6061.2452030181903</v>
      </c>
      <c r="R12" s="14">
        <f t="shared" ref="R12" si="56">R9/R11</f>
        <v>7576.5565037727374</v>
      </c>
      <c r="S12" s="14">
        <f t="shared" ref="S12" si="57">S9/S11</f>
        <v>9470.6956297159213</v>
      </c>
      <c r="T12" s="14">
        <f t="shared" ref="T12" si="58">T9/T11</f>
        <v>11838.369537144903</v>
      </c>
      <c r="U12" s="14">
        <f t="shared" ref="U12" si="59">U9/U11</f>
        <v>14797.961921431128</v>
      </c>
      <c r="V12" s="14">
        <f t="shared" ref="V12" si="60">V9/V11</f>
        <v>18497.452401788909</v>
      </c>
      <c r="W12" s="14">
        <f t="shared" ref="W12" si="61">W9/W11</f>
        <v>23121.815502236139</v>
      </c>
      <c r="X12" s="14">
        <f t="shared" ref="X12" si="62">X9/X11</f>
        <v>28902.269377795172</v>
      </c>
      <c r="Y12" s="14">
        <f t="shared" ref="Y12" si="63">Y9/Y11</f>
        <v>36127.836722243963</v>
      </c>
    </row>
    <row r="13" spans="1:25" x14ac:dyDescent="0.5">
      <c r="A13" s="14" t="s">
        <v>123</v>
      </c>
      <c r="B13" s="25">
        <v>0.1</v>
      </c>
      <c r="C13" s="25">
        <v>0.1</v>
      </c>
      <c r="D13" s="25">
        <v>0.2</v>
      </c>
      <c r="E13" s="25">
        <v>0.2</v>
      </c>
      <c r="F13" s="18">
        <v>0.11</v>
      </c>
      <c r="G13" s="18">
        <v>0.1</v>
      </c>
      <c r="H13" s="19">
        <f t="shared" ref="H13:I13" si="64">G13</f>
        <v>0.1</v>
      </c>
      <c r="I13" s="19">
        <f t="shared" si="64"/>
        <v>0.1</v>
      </c>
      <c r="J13" s="19">
        <f t="shared" ref="J13:N13" si="65">I13</f>
        <v>0.1</v>
      </c>
      <c r="K13" s="19">
        <f t="shared" si="65"/>
        <v>0.1</v>
      </c>
      <c r="L13" s="19">
        <f t="shared" si="65"/>
        <v>0.1</v>
      </c>
      <c r="M13" s="19">
        <f t="shared" si="65"/>
        <v>0.1</v>
      </c>
      <c r="N13" s="19">
        <f t="shared" si="65"/>
        <v>0.1</v>
      </c>
      <c r="O13" s="19">
        <f t="shared" ref="O13:Y13" si="66">N13</f>
        <v>0.1</v>
      </c>
      <c r="P13" s="19">
        <f t="shared" si="66"/>
        <v>0.1</v>
      </c>
      <c r="Q13" s="19">
        <f t="shared" si="66"/>
        <v>0.1</v>
      </c>
      <c r="R13" s="19">
        <f t="shared" si="66"/>
        <v>0.1</v>
      </c>
      <c r="S13" s="19">
        <f t="shared" si="66"/>
        <v>0.1</v>
      </c>
      <c r="T13" s="19">
        <f t="shared" si="66"/>
        <v>0.1</v>
      </c>
      <c r="U13" s="19">
        <f t="shared" si="66"/>
        <v>0.1</v>
      </c>
      <c r="V13" s="19">
        <f t="shared" si="66"/>
        <v>0.1</v>
      </c>
      <c r="W13" s="19">
        <f t="shared" si="66"/>
        <v>0.1</v>
      </c>
      <c r="X13" s="19">
        <f t="shared" si="66"/>
        <v>0.1</v>
      </c>
      <c r="Y13" s="19">
        <f t="shared" si="66"/>
        <v>0.1</v>
      </c>
    </row>
    <row r="14" spans="1:25" x14ac:dyDescent="0.5">
      <c r="A14" s="14" t="s">
        <v>304</v>
      </c>
      <c r="B14" s="23">
        <f t="shared" ref="B14:E14" si="67">ROUND(B12*B13,0)</f>
        <v>19</v>
      </c>
      <c r="C14" s="23">
        <f t="shared" si="67"/>
        <v>36</v>
      </c>
      <c r="D14" s="23">
        <f t="shared" si="67"/>
        <v>80</v>
      </c>
      <c r="E14" s="23">
        <f t="shared" si="67"/>
        <v>59</v>
      </c>
      <c r="F14" s="14">
        <f>F12*F13</f>
        <v>55</v>
      </c>
      <c r="G14" s="14">
        <f t="shared" ref="G14:I14" si="68">G12*G13</f>
        <v>73.689000000000007</v>
      </c>
      <c r="H14" s="14">
        <f t="shared" si="68"/>
        <v>84.742350000000016</v>
      </c>
      <c r="I14" s="14">
        <f t="shared" si="68"/>
        <v>101.69082000000002</v>
      </c>
      <c r="J14" s="14">
        <f t="shared" ref="J14" si="69">J12*J13</f>
        <v>127.11352500000001</v>
      </c>
      <c r="K14" s="14">
        <f t="shared" ref="K14" si="70">K12*K13</f>
        <v>158.89190625000003</v>
      </c>
      <c r="L14" s="14">
        <f t="shared" ref="L14" si="71">L12*L13</f>
        <v>198.61488281250004</v>
      </c>
      <c r="M14" s="14">
        <f t="shared" ref="M14" si="72">M12*M13</f>
        <v>248.26860351562505</v>
      </c>
      <c r="N14" s="14">
        <f t="shared" ref="N14" si="73">N12*N13</f>
        <v>310.33575439453136</v>
      </c>
      <c r="O14" s="14">
        <f t="shared" ref="O14" si="74">O12*O13</f>
        <v>387.91969299316418</v>
      </c>
      <c r="P14" s="14">
        <f t="shared" ref="P14" si="75">P12*P13</f>
        <v>484.89961624145519</v>
      </c>
      <c r="Q14" s="14">
        <f t="shared" ref="Q14" si="76">Q12*Q13</f>
        <v>606.12452030181908</v>
      </c>
      <c r="R14" s="14">
        <f t="shared" ref="R14" si="77">R12*R13</f>
        <v>757.65565037727379</v>
      </c>
      <c r="S14" s="14">
        <f t="shared" ref="S14" si="78">S12*S13</f>
        <v>947.06956297159218</v>
      </c>
      <c r="T14" s="14">
        <f t="shared" ref="T14" si="79">T12*T13</f>
        <v>1183.8369537144904</v>
      </c>
      <c r="U14" s="14">
        <f t="shared" ref="U14" si="80">U12*U13</f>
        <v>1479.7961921431129</v>
      </c>
      <c r="V14" s="14">
        <f t="shared" ref="V14" si="81">V12*V13</f>
        <v>1849.745240178891</v>
      </c>
      <c r="W14" s="14">
        <f t="shared" ref="W14" si="82">W12*W13</f>
        <v>2312.1815502236141</v>
      </c>
      <c r="X14" s="14">
        <f t="shared" ref="X14" si="83">X12*X13</f>
        <v>2890.2269377795174</v>
      </c>
      <c r="Y14" s="14">
        <f t="shared" ref="Y14" si="84">Y12*Y13</f>
        <v>3612.7836722243965</v>
      </c>
    </row>
    <row r="15" spans="1:25" x14ac:dyDescent="0.5">
      <c r="A15" s="14" t="s">
        <v>305</v>
      </c>
      <c r="B15" s="26">
        <f t="shared" ref="B15:E15" si="85">ROUND(B16/B14,1)</f>
        <v>6.9</v>
      </c>
      <c r="C15" s="26">
        <f t="shared" si="85"/>
        <v>2.2999999999999998</v>
      </c>
      <c r="D15" s="26">
        <f t="shared" si="85"/>
        <v>1.4</v>
      </c>
      <c r="E15" s="26">
        <f t="shared" si="85"/>
        <v>1.2</v>
      </c>
      <c r="F15" s="28">
        <v>3</v>
      </c>
      <c r="G15" s="28">
        <v>3</v>
      </c>
      <c r="H15" s="28">
        <v>3</v>
      </c>
      <c r="I15" s="29">
        <f t="shared" ref="I15" si="86">H15</f>
        <v>3</v>
      </c>
      <c r="J15" s="29">
        <f t="shared" ref="J15:N15" si="87">I15</f>
        <v>3</v>
      </c>
      <c r="K15" s="29">
        <f t="shared" si="87"/>
        <v>3</v>
      </c>
      <c r="L15" s="29">
        <f t="shared" si="87"/>
        <v>3</v>
      </c>
      <c r="M15" s="29">
        <f t="shared" si="87"/>
        <v>3</v>
      </c>
      <c r="N15" s="29">
        <f t="shared" si="87"/>
        <v>3</v>
      </c>
      <c r="O15" s="29">
        <f t="shared" ref="O15:Y15" si="88">N15</f>
        <v>3</v>
      </c>
      <c r="P15" s="29">
        <f t="shared" si="88"/>
        <v>3</v>
      </c>
      <c r="Q15" s="29">
        <f t="shared" si="88"/>
        <v>3</v>
      </c>
      <c r="R15" s="29">
        <f t="shared" si="88"/>
        <v>3</v>
      </c>
      <c r="S15" s="29">
        <f t="shared" si="88"/>
        <v>3</v>
      </c>
      <c r="T15" s="29">
        <f t="shared" si="88"/>
        <v>3</v>
      </c>
      <c r="U15" s="29">
        <f t="shared" si="88"/>
        <v>3</v>
      </c>
      <c r="V15" s="29">
        <f t="shared" si="88"/>
        <v>3</v>
      </c>
      <c r="W15" s="29">
        <f t="shared" si="88"/>
        <v>3</v>
      </c>
      <c r="X15" s="29">
        <f t="shared" si="88"/>
        <v>3</v>
      </c>
      <c r="Y15" s="29">
        <f t="shared" si="88"/>
        <v>3</v>
      </c>
    </row>
    <row r="16" spans="1:25" x14ac:dyDescent="0.5">
      <c r="A16" s="14" t="s">
        <v>306</v>
      </c>
      <c r="B16" s="24">
        <v>132</v>
      </c>
      <c r="C16" s="24">
        <v>83</v>
      </c>
      <c r="D16" s="24">
        <v>113</v>
      </c>
      <c r="E16" s="24">
        <v>70</v>
      </c>
      <c r="F16" s="14">
        <f>ROUND(F14*F15,0)</f>
        <v>165</v>
      </c>
      <c r="G16" s="14">
        <f t="shared" ref="G16:Y16" si="89">ROUND(G14*G15,0)</f>
        <v>221</v>
      </c>
      <c r="H16" s="14">
        <f t="shared" si="89"/>
        <v>254</v>
      </c>
      <c r="I16" s="14">
        <f t="shared" si="89"/>
        <v>305</v>
      </c>
      <c r="J16" s="14">
        <f t="shared" si="89"/>
        <v>381</v>
      </c>
      <c r="K16" s="14">
        <f t="shared" si="89"/>
        <v>477</v>
      </c>
      <c r="L16" s="14">
        <f t="shared" si="89"/>
        <v>596</v>
      </c>
      <c r="M16" s="14">
        <f t="shared" si="89"/>
        <v>745</v>
      </c>
      <c r="N16" s="14">
        <f t="shared" si="89"/>
        <v>931</v>
      </c>
      <c r="O16" s="14">
        <f t="shared" si="89"/>
        <v>1164</v>
      </c>
      <c r="P16" s="14">
        <f t="shared" si="89"/>
        <v>1455</v>
      </c>
      <c r="Q16" s="14">
        <f t="shared" si="89"/>
        <v>1818</v>
      </c>
      <c r="R16" s="14">
        <f t="shared" si="89"/>
        <v>2273</v>
      </c>
      <c r="S16" s="14">
        <f t="shared" si="89"/>
        <v>2841</v>
      </c>
      <c r="T16" s="14">
        <f t="shared" si="89"/>
        <v>3552</v>
      </c>
      <c r="U16" s="14">
        <f t="shared" si="89"/>
        <v>4439</v>
      </c>
      <c r="V16" s="14">
        <f t="shared" si="89"/>
        <v>5549</v>
      </c>
      <c r="W16" s="14">
        <f t="shared" si="89"/>
        <v>6937</v>
      </c>
      <c r="X16" s="14">
        <f t="shared" si="89"/>
        <v>8671</v>
      </c>
      <c r="Y16" s="14">
        <f t="shared" si="89"/>
        <v>10838</v>
      </c>
    </row>
    <row r="18" spans="1:25" x14ac:dyDescent="0.5">
      <c r="A18" s="14" t="s">
        <v>307</v>
      </c>
    </row>
    <row r="19" spans="1:25" x14ac:dyDescent="0.5">
      <c r="A19" s="14" t="s">
        <v>125</v>
      </c>
      <c r="G19" s="16">
        <f>Highlights!$B$5</f>
        <v>1</v>
      </c>
      <c r="H19" s="16"/>
    </row>
    <row r="20" spans="1:25" x14ac:dyDescent="0.5">
      <c r="A20" s="14" t="s">
        <v>128</v>
      </c>
      <c r="F20" s="14">
        <v>1</v>
      </c>
      <c r="G20" s="14">
        <f>F20+G19</f>
        <v>2</v>
      </c>
      <c r="H20" s="14">
        <f t="shared" ref="H20:Y20" si="90">G20+H19</f>
        <v>2</v>
      </c>
      <c r="I20" s="14">
        <f t="shared" si="90"/>
        <v>2</v>
      </c>
      <c r="J20" s="14">
        <f t="shared" si="90"/>
        <v>2</v>
      </c>
      <c r="K20" s="14">
        <f t="shared" si="90"/>
        <v>2</v>
      </c>
      <c r="L20" s="14">
        <f t="shared" si="90"/>
        <v>2</v>
      </c>
      <c r="M20" s="14">
        <f t="shared" si="90"/>
        <v>2</v>
      </c>
      <c r="N20" s="14">
        <f t="shared" si="90"/>
        <v>2</v>
      </c>
      <c r="O20" s="14">
        <f t="shared" si="90"/>
        <v>2</v>
      </c>
      <c r="P20" s="14">
        <f t="shared" si="90"/>
        <v>2</v>
      </c>
      <c r="Q20" s="14">
        <f t="shared" si="90"/>
        <v>2</v>
      </c>
      <c r="R20" s="14">
        <f t="shared" si="90"/>
        <v>2</v>
      </c>
      <c r="S20" s="14">
        <f t="shared" si="90"/>
        <v>2</v>
      </c>
      <c r="T20" s="14">
        <f t="shared" si="90"/>
        <v>2</v>
      </c>
      <c r="U20" s="14">
        <f t="shared" si="90"/>
        <v>2</v>
      </c>
      <c r="V20" s="14">
        <f t="shared" si="90"/>
        <v>2</v>
      </c>
      <c r="W20" s="14">
        <f t="shared" si="90"/>
        <v>2</v>
      </c>
      <c r="X20" s="14">
        <f t="shared" si="90"/>
        <v>2</v>
      </c>
      <c r="Y20" s="14">
        <f t="shared" si="90"/>
        <v>2</v>
      </c>
    </row>
    <row r="21" spans="1:25" x14ac:dyDescent="0.5">
      <c r="A21" s="14" t="s">
        <v>126</v>
      </c>
      <c r="F21" s="16">
        <f>Highlights!B6</f>
        <v>35</v>
      </c>
      <c r="G21" s="14">
        <f>F21</f>
        <v>35</v>
      </c>
      <c r="H21" s="14">
        <f t="shared" ref="H21:N21" si="91">G21</f>
        <v>35</v>
      </c>
      <c r="I21" s="14">
        <f t="shared" si="91"/>
        <v>35</v>
      </c>
      <c r="J21" s="14">
        <f t="shared" si="91"/>
        <v>35</v>
      </c>
      <c r="K21" s="14">
        <f t="shared" si="91"/>
        <v>35</v>
      </c>
      <c r="L21" s="14">
        <f t="shared" si="91"/>
        <v>35</v>
      </c>
      <c r="M21" s="14">
        <f t="shared" si="91"/>
        <v>35</v>
      </c>
      <c r="N21" s="14">
        <f t="shared" si="91"/>
        <v>35</v>
      </c>
      <c r="O21" s="14">
        <f t="shared" ref="O21:Y21" si="92">N21</f>
        <v>35</v>
      </c>
      <c r="P21" s="14">
        <f t="shared" si="92"/>
        <v>35</v>
      </c>
      <c r="Q21" s="14">
        <f t="shared" si="92"/>
        <v>35</v>
      </c>
      <c r="R21" s="14">
        <f t="shared" si="92"/>
        <v>35</v>
      </c>
      <c r="S21" s="14">
        <f t="shared" si="92"/>
        <v>35</v>
      </c>
      <c r="T21" s="14">
        <f t="shared" si="92"/>
        <v>35</v>
      </c>
      <c r="U21" s="14">
        <f t="shared" si="92"/>
        <v>35</v>
      </c>
      <c r="V21" s="14">
        <f t="shared" si="92"/>
        <v>35</v>
      </c>
      <c r="W21" s="14">
        <f t="shared" si="92"/>
        <v>35</v>
      </c>
      <c r="X21" s="14">
        <f t="shared" si="92"/>
        <v>35</v>
      </c>
      <c r="Y21" s="14">
        <f t="shared" si="92"/>
        <v>35</v>
      </c>
    </row>
    <row r="22" spans="1:25" x14ac:dyDescent="0.5">
      <c r="A22" s="14" t="s">
        <v>127</v>
      </c>
      <c r="F22" s="14">
        <f>F21/1.5</f>
        <v>23.333333333333332</v>
      </c>
      <c r="G22" s="14">
        <f t="shared" ref="G22:Y22" si="93">G21/1.5</f>
        <v>23.333333333333332</v>
      </c>
      <c r="H22" s="14">
        <f t="shared" si="93"/>
        <v>23.333333333333332</v>
      </c>
      <c r="I22" s="14">
        <f t="shared" si="93"/>
        <v>23.333333333333332</v>
      </c>
      <c r="J22" s="14">
        <f t="shared" si="93"/>
        <v>23.333333333333332</v>
      </c>
      <c r="K22" s="14">
        <f t="shared" si="93"/>
        <v>23.333333333333332</v>
      </c>
      <c r="L22" s="14">
        <f t="shared" si="93"/>
        <v>23.333333333333332</v>
      </c>
      <c r="M22" s="14">
        <f t="shared" si="93"/>
        <v>23.333333333333332</v>
      </c>
      <c r="N22" s="14">
        <f t="shared" si="93"/>
        <v>23.333333333333332</v>
      </c>
      <c r="O22" s="14">
        <f t="shared" si="93"/>
        <v>23.333333333333332</v>
      </c>
      <c r="P22" s="14">
        <f t="shared" si="93"/>
        <v>23.333333333333332</v>
      </c>
      <c r="Q22" s="14">
        <f t="shared" si="93"/>
        <v>23.333333333333332</v>
      </c>
      <c r="R22" s="14">
        <f t="shared" si="93"/>
        <v>23.333333333333332</v>
      </c>
      <c r="S22" s="14">
        <f t="shared" si="93"/>
        <v>23.333333333333332</v>
      </c>
      <c r="T22" s="14">
        <f t="shared" si="93"/>
        <v>23.333333333333332</v>
      </c>
      <c r="U22" s="14">
        <f t="shared" si="93"/>
        <v>23.333333333333332</v>
      </c>
      <c r="V22" s="14">
        <f t="shared" si="93"/>
        <v>23.333333333333332</v>
      </c>
      <c r="W22" s="14">
        <f t="shared" si="93"/>
        <v>23.333333333333332</v>
      </c>
      <c r="X22" s="14">
        <f t="shared" si="93"/>
        <v>23.333333333333332</v>
      </c>
      <c r="Y22" s="14">
        <f t="shared" si="93"/>
        <v>23.333333333333332</v>
      </c>
    </row>
    <row r="23" spans="1:25" x14ac:dyDescent="0.5">
      <c r="A23" s="14" t="s">
        <v>134</v>
      </c>
      <c r="F23" s="18">
        <v>0.1</v>
      </c>
      <c r="G23" s="18">
        <v>0.1</v>
      </c>
      <c r="H23" s="18">
        <v>0.1</v>
      </c>
      <c r="I23" s="18">
        <v>0.1</v>
      </c>
      <c r="J23" s="18">
        <v>0.1</v>
      </c>
      <c r="K23" s="18">
        <v>0.1</v>
      </c>
      <c r="L23" s="18">
        <v>0.1</v>
      </c>
      <c r="M23" s="18">
        <v>0.1</v>
      </c>
      <c r="N23" s="18">
        <v>0.1</v>
      </c>
      <c r="O23" s="18">
        <v>0.1</v>
      </c>
      <c r="P23" s="18">
        <v>0.1</v>
      </c>
      <c r="Q23" s="18">
        <v>0.1</v>
      </c>
      <c r="R23" s="18">
        <v>0.1</v>
      </c>
      <c r="S23" s="18">
        <v>0.1</v>
      </c>
      <c r="T23" s="18">
        <v>0.1</v>
      </c>
      <c r="U23" s="18">
        <v>0.1</v>
      </c>
      <c r="V23" s="18">
        <v>0.1</v>
      </c>
      <c r="W23" s="18">
        <v>0.1</v>
      </c>
      <c r="X23" s="18">
        <v>0.1</v>
      </c>
      <c r="Y23" s="18">
        <v>0.1</v>
      </c>
    </row>
    <row r="24" spans="1:25" x14ac:dyDescent="0.5">
      <c r="A24" s="14" t="s">
        <v>135</v>
      </c>
      <c r="F24" s="18">
        <v>0.2</v>
      </c>
      <c r="G24" s="18">
        <v>0.2</v>
      </c>
      <c r="H24" s="18">
        <v>0.2</v>
      </c>
      <c r="I24" s="18">
        <v>0.2</v>
      </c>
      <c r="J24" s="18">
        <v>0.2</v>
      </c>
      <c r="K24" s="18">
        <v>0.2</v>
      </c>
      <c r="L24" s="18">
        <v>0.3</v>
      </c>
      <c r="M24" s="18">
        <v>0.3</v>
      </c>
      <c r="N24" s="18">
        <v>0.3</v>
      </c>
      <c r="O24" s="18">
        <v>0.3</v>
      </c>
      <c r="P24" s="18">
        <v>0.4</v>
      </c>
      <c r="Q24" s="18">
        <v>0.4</v>
      </c>
      <c r="R24" s="18">
        <v>0.4</v>
      </c>
      <c r="S24" s="18">
        <v>0.4</v>
      </c>
      <c r="T24" s="18">
        <v>0.4</v>
      </c>
      <c r="U24" s="18">
        <v>0.4</v>
      </c>
      <c r="V24" s="18">
        <v>0.4</v>
      </c>
      <c r="W24" s="18">
        <v>0.4</v>
      </c>
      <c r="X24" s="18">
        <v>0.4</v>
      </c>
      <c r="Y24" s="18">
        <v>0.4</v>
      </c>
    </row>
    <row r="25" spans="1:25" x14ac:dyDescent="0.5">
      <c r="A25" s="14" t="s">
        <v>241</v>
      </c>
      <c r="F25" s="19">
        <f t="shared" ref="F25:Y25" si="94">CHOOSE(F20,F23,F24)</f>
        <v>0.1</v>
      </c>
      <c r="G25" s="19">
        <f t="shared" si="94"/>
        <v>0.2</v>
      </c>
      <c r="H25" s="19">
        <f t="shared" si="94"/>
        <v>0.2</v>
      </c>
      <c r="I25" s="19">
        <f t="shared" si="94"/>
        <v>0.2</v>
      </c>
      <c r="J25" s="19">
        <f t="shared" si="94"/>
        <v>0.2</v>
      </c>
      <c r="K25" s="19">
        <f t="shared" si="94"/>
        <v>0.2</v>
      </c>
      <c r="L25" s="19">
        <f t="shared" si="94"/>
        <v>0.3</v>
      </c>
      <c r="M25" s="19">
        <f t="shared" si="94"/>
        <v>0.3</v>
      </c>
      <c r="N25" s="19">
        <f t="shared" si="94"/>
        <v>0.3</v>
      </c>
      <c r="O25" s="19">
        <f t="shared" si="94"/>
        <v>0.3</v>
      </c>
      <c r="P25" s="19">
        <f t="shared" si="94"/>
        <v>0.4</v>
      </c>
      <c r="Q25" s="19">
        <f t="shared" si="94"/>
        <v>0.4</v>
      </c>
      <c r="R25" s="19">
        <f t="shared" si="94"/>
        <v>0.4</v>
      </c>
      <c r="S25" s="19">
        <f t="shared" si="94"/>
        <v>0.4</v>
      </c>
      <c r="T25" s="19">
        <f t="shared" si="94"/>
        <v>0.4</v>
      </c>
      <c r="U25" s="19">
        <f t="shared" si="94"/>
        <v>0.4</v>
      </c>
      <c r="V25" s="19">
        <f t="shared" si="94"/>
        <v>0.4</v>
      </c>
      <c r="W25" s="19">
        <f t="shared" si="94"/>
        <v>0.4</v>
      </c>
      <c r="X25" s="19">
        <f t="shared" si="94"/>
        <v>0.4</v>
      </c>
      <c r="Y25" s="19">
        <f t="shared" si="94"/>
        <v>0.4</v>
      </c>
    </row>
    <row r="28" spans="1:25" x14ac:dyDescent="0.5">
      <c r="A28" s="75" t="s">
        <v>308</v>
      </c>
    </row>
    <row r="30" spans="1:25" x14ac:dyDescent="0.5">
      <c r="A30" s="14" t="s">
        <v>309</v>
      </c>
    </row>
    <row r="31" spans="1:25" x14ac:dyDescent="0.5">
      <c r="A31" s="14" t="s">
        <v>125</v>
      </c>
      <c r="H31" s="17"/>
      <c r="L31" s="16">
        <f>Highlights!B9</f>
        <v>1</v>
      </c>
    </row>
    <row r="32" spans="1:25" x14ac:dyDescent="0.5">
      <c r="A32" s="14" t="s">
        <v>128</v>
      </c>
      <c r="F32" s="14">
        <v>1</v>
      </c>
      <c r="G32" s="14">
        <f>F32+F31</f>
        <v>1</v>
      </c>
      <c r="H32" s="14">
        <f t="shared" ref="H32" si="95">G32+G31</f>
        <v>1</v>
      </c>
      <c r="I32" s="14">
        <f t="shared" ref="I32" si="96">H32+H31</f>
        <v>1</v>
      </c>
      <c r="J32" s="14">
        <f t="shared" ref="J32" si="97">I32+I31</f>
        <v>1</v>
      </c>
      <c r="K32" s="14">
        <f t="shared" ref="K32" si="98">J32+J31</f>
        <v>1</v>
      </c>
      <c r="L32" s="14">
        <f t="shared" ref="L32" si="99">K32+K31</f>
        <v>1</v>
      </c>
      <c r="M32" s="14">
        <f t="shared" ref="M32" si="100">L32+L31</f>
        <v>2</v>
      </c>
      <c r="N32" s="14">
        <f t="shared" ref="N32" si="101">M32+M31</f>
        <v>2</v>
      </c>
      <c r="O32" s="14">
        <f t="shared" ref="O32" si="102">N32+N31</f>
        <v>2</v>
      </c>
      <c r="P32" s="14">
        <f t="shared" ref="P32" si="103">O32+O31</f>
        <v>2</v>
      </c>
      <c r="Q32" s="14">
        <f t="shared" ref="Q32" si="104">P32+P31</f>
        <v>2</v>
      </c>
      <c r="R32" s="14">
        <f t="shared" ref="R32" si="105">Q32+Q31</f>
        <v>2</v>
      </c>
      <c r="S32" s="14">
        <f t="shared" ref="S32" si="106">R32+R31</f>
        <v>2</v>
      </c>
      <c r="T32" s="14">
        <f t="shared" ref="T32" si="107">S32+S31</f>
        <v>2</v>
      </c>
      <c r="U32" s="14">
        <f t="shared" ref="U32" si="108">T32+T31</f>
        <v>2</v>
      </c>
      <c r="V32" s="14">
        <f t="shared" ref="V32" si="109">U32+U31</f>
        <v>2</v>
      </c>
      <c r="W32" s="14">
        <f t="shared" ref="W32" si="110">V32+V31</f>
        <v>2</v>
      </c>
      <c r="X32" s="14">
        <f t="shared" ref="X32" si="111">W32+W31</f>
        <v>2</v>
      </c>
      <c r="Y32" s="14">
        <f t="shared" ref="Y32" si="112">X32+X31</f>
        <v>2</v>
      </c>
    </row>
    <row r="33" spans="1:25" x14ac:dyDescent="0.5">
      <c r="F33" s="17"/>
    </row>
    <row r="34" spans="1:25" x14ac:dyDescent="0.5">
      <c r="A34" s="14" t="s">
        <v>220</v>
      </c>
    </row>
    <row r="35" spans="1:25" x14ac:dyDescent="0.5">
      <c r="A35" s="14" t="s">
        <v>221</v>
      </c>
      <c r="F35" s="14">
        <f>E35+F36</f>
        <v>0</v>
      </c>
      <c r="G35" s="14">
        <f t="shared" ref="G35:R35" si="113">F35+G36</f>
        <v>0</v>
      </c>
      <c r="H35" s="14">
        <f t="shared" si="113"/>
        <v>0</v>
      </c>
      <c r="I35" s="14">
        <f t="shared" si="113"/>
        <v>0</v>
      </c>
      <c r="J35" s="14">
        <f t="shared" si="113"/>
        <v>0</v>
      </c>
      <c r="K35" s="14">
        <f t="shared" si="113"/>
        <v>0</v>
      </c>
      <c r="L35" s="14">
        <f t="shared" si="113"/>
        <v>0</v>
      </c>
      <c r="M35" s="14">
        <f t="shared" si="113"/>
        <v>3</v>
      </c>
      <c r="N35" s="14">
        <f t="shared" si="113"/>
        <v>3</v>
      </c>
      <c r="O35" s="14">
        <f t="shared" si="113"/>
        <v>3</v>
      </c>
      <c r="P35" s="14">
        <f t="shared" si="113"/>
        <v>3</v>
      </c>
      <c r="Q35" s="14">
        <f t="shared" si="113"/>
        <v>3</v>
      </c>
      <c r="R35" s="14">
        <f t="shared" si="113"/>
        <v>3</v>
      </c>
      <c r="S35" s="14">
        <f t="shared" ref="S35" si="114">R35+S36</f>
        <v>3</v>
      </c>
      <c r="T35" s="14">
        <f t="shared" ref="T35" si="115">S35+T36</f>
        <v>3</v>
      </c>
      <c r="U35" s="14">
        <f t="shared" ref="U35" si="116">T35+U36</f>
        <v>3</v>
      </c>
      <c r="V35" s="14">
        <f t="shared" ref="V35" si="117">U35+V36</f>
        <v>3</v>
      </c>
      <c r="W35" s="14">
        <f t="shared" ref="W35" si="118">V35+W36</f>
        <v>3</v>
      </c>
      <c r="X35" s="14">
        <f t="shared" ref="X35" si="119">W35+X36</f>
        <v>3</v>
      </c>
      <c r="Y35" s="14">
        <f t="shared" ref="Y35" si="120">X35+Y36</f>
        <v>3</v>
      </c>
    </row>
    <row r="36" spans="1:25" x14ac:dyDescent="0.5">
      <c r="A36" s="14" t="s">
        <v>163</v>
      </c>
      <c r="B36" s="21">
        <f>Highlights!B10</f>
        <v>3</v>
      </c>
      <c r="F36" s="14">
        <f>AND(E32=1,F32=2)*$B$36</f>
        <v>0</v>
      </c>
      <c r="G36" s="14">
        <f t="shared" ref="G36:Y36" si="121">AND(F32=1,G32=2)*$B$36</f>
        <v>0</v>
      </c>
      <c r="H36" s="14">
        <f t="shared" si="121"/>
        <v>0</v>
      </c>
      <c r="I36" s="14">
        <f t="shared" si="121"/>
        <v>0</v>
      </c>
      <c r="J36" s="14">
        <f t="shared" si="121"/>
        <v>0</v>
      </c>
      <c r="K36" s="14">
        <f t="shared" si="121"/>
        <v>0</v>
      </c>
      <c r="L36" s="14">
        <f t="shared" si="121"/>
        <v>0</v>
      </c>
      <c r="M36" s="14">
        <f t="shared" si="121"/>
        <v>3</v>
      </c>
      <c r="N36" s="14">
        <f t="shared" si="121"/>
        <v>0</v>
      </c>
      <c r="O36" s="14">
        <f t="shared" si="121"/>
        <v>0</v>
      </c>
      <c r="P36" s="14">
        <f t="shared" si="121"/>
        <v>0</v>
      </c>
      <c r="Q36" s="14">
        <f t="shared" si="121"/>
        <v>0</v>
      </c>
      <c r="R36" s="14">
        <f t="shared" si="121"/>
        <v>0</v>
      </c>
      <c r="S36" s="14">
        <f t="shared" si="121"/>
        <v>0</v>
      </c>
      <c r="T36" s="14">
        <f t="shared" si="121"/>
        <v>0</v>
      </c>
      <c r="U36" s="14">
        <f t="shared" si="121"/>
        <v>0</v>
      </c>
      <c r="V36" s="14">
        <f t="shared" si="121"/>
        <v>0</v>
      </c>
      <c r="W36" s="14">
        <f t="shared" si="121"/>
        <v>0</v>
      </c>
      <c r="X36" s="14">
        <f t="shared" si="121"/>
        <v>0</v>
      </c>
      <c r="Y36" s="14">
        <f t="shared" si="121"/>
        <v>0</v>
      </c>
    </row>
    <row r="37" spans="1:25" x14ac:dyDescent="0.5">
      <c r="A37" s="14" t="s">
        <v>222</v>
      </c>
      <c r="F37" s="17">
        <v>5</v>
      </c>
      <c r="G37" s="14">
        <f>F37</f>
        <v>5</v>
      </c>
      <c r="H37" s="14">
        <f t="shared" ref="H37:R37" si="122">G37</f>
        <v>5</v>
      </c>
      <c r="I37" s="14">
        <f t="shared" si="122"/>
        <v>5</v>
      </c>
      <c r="J37" s="14">
        <f t="shared" si="122"/>
        <v>5</v>
      </c>
      <c r="K37" s="14">
        <f t="shared" si="122"/>
        <v>5</v>
      </c>
      <c r="L37" s="14">
        <f t="shared" si="122"/>
        <v>5</v>
      </c>
      <c r="M37" s="14">
        <f t="shared" si="122"/>
        <v>5</v>
      </c>
      <c r="N37" s="14">
        <f t="shared" si="122"/>
        <v>5</v>
      </c>
      <c r="O37" s="14">
        <f t="shared" si="122"/>
        <v>5</v>
      </c>
      <c r="P37" s="14">
        <f t="shared" si="122"/>
        <v>5</v>
      </c>
      <c r="Q37" s="14">
        <f t="shared" si="122"/>
        <v>5</v>
      </c>
      <c r="R37" s="14">
        <f t="shared" si="122"/>
        <v>5</v>
      </c>
      <c r="S37" s="14">
        <f t="shared" ref="S37:Y37" si="123">R37</f>
        <v>5</v>
      </c>
      <c r="T37" s="14">
        <f t="shared" si="123"/>
        <v>5</v>
      </c>
      <c r="U37" s="14">
        <f t="shared" si="123"/>
        <v>5</v>
      </c>
      <c r="V37" s="14">
        <f t="shared" si="123"/>
        <v>5</v>
      </c>
      <c r="W37" s="14">
        <f t="shared" si="123"/>
        <v>5</v>
      </c>
      <c r="X37" s="14">
        <f t="shared" si="123"/>
        <v>5</v>
      </c>
      <c r="Y37" s="14">
        <f t="shared" si="123"/>
        <v>5</v>
      </c>
    </row>
    <row r="38" spans="1:25" x14ac:dyDescent="0.5">
      <c r="A38" s="14" t="s">
        <v>223</v>
      </c>
      <c r="F38" s="14">
        <f>F37*3*F35</f>
        <v>0</v>
      </c>
      <c r="G38" s="14">
        <f t="shared" ref="G38:R38" si="124">G37*3*G35</f>
        <v>0</v>
      </c>
      <c r="H38" s="14">
        <f t="shared" si="124"/>
        <v>0</v>
      </c>
      <c r="I38" s="14">
        <f t="shared" si="124"/>
        <v>0</v>
      </c>
      <c r="J38" s="14">
        <f t="shared" si="124"/>
        <v>0</v>
      </c>
      <c r="K38" s="14">
        <f t="shared" si="124"/>
        <v>0</v>
      </c>
      <c r="L38" s="14">
        <f t="shared" si="124"/>
        <v>0</v>
      </c>
      <c r="M38" s="14">
        <f t="shared" si="124"/>
        <v>45</v>
      </c>
      <c r="N38" s="14">
        <f t="shared" si="124"/>
        <v>45</v>
      </c>
      <c r="O38" s="14">
        <f t="shared" si="124"/>
        <v>45</v>
      </c>
      <c r="P38" s="14">
        <f t="shared" si="124"/>
        <v>45</v>
      </c>
      <c r="Q38" s="14">
        <f t="shared" si="124"/>
        <v>45</v>
      </c>
      <c r="R38" s="14">
        <f t="shared" si="124"/>
        <v>45</v>
      </c>
      <c r="S38" s="14">
        <f t="shared" ref="S38" si="125">S37*3*S35</f>
        <v>45</v>
      </c>
      <c r="T38" s="14">
        <f t="shared" ref="T38" si="126">T37*3*T35</f>
        <v>45</v>
      </c>
      <c r="U38" s="14">
        <f t="shared" ref="U38" si="127">U37*3*U35</f>
        <v>45</v>
      </c>
      <c r="V38" s="14">
        <f t="shared" ref="V38" si="128">V37*3*V35</f>
        <v>45</v>
      </c>
      <c r="W38" s="14">
        <f t="shared" ref="W38" si="129">W37*3*W35</f>
        <v>45</v>
      </c>
      <c r="X38" s="14">
        <f t="shared" ref="X38" si="130">X37*3*X35</f>
        <v>45</v>
      </c>
      <c r="Y38" s="14">
        <f t="shared" ref="Y38" si="131">Y37*3*Y35</f>
        <v>45</v>
      </c>
    </row>
    <row r="39" spans="1:25" x14ac:dyDescent="0.5">
      <c r="A39" s="14" t="s">
        <v>226</v>
      </c>
      <c r="F39" s="14">
        <f>E39+F38</f>
        <v>0</v>
      </c>
      <c r="G39" s="14">
        <f t="shared" ref="G39:R39" si="132">F39+G38</f>
        <v>0</v>
      </c>
      <c r="H39" s="14">
        <f t="shared" si="132"/>
        <v>0</v>
      </c>
      <c r="I39" s="14">
        <f t="shared" si="132"/>
        <v>0</v>
      </c>
      <c r="J39" s="14">
        <f t="shared" si="132"/>
        <v>0</v>
      </c>
      <c r="K39" s="14">
        <f t="shared" si="132"/>
        <v>0</v>
      </c>
      <c r="L39" s="14">
        <f t="shared" si="132"/>
        <v>0</v>
      </c>
      <c r="M39" s="14">
        <f t="shared" si="132"/>
        <v>45</v>
      </c>
      <c r="N39" s="14">
        <f t="shared" si="132"/>
        <v>90</v>
      </c>
      <c r="O39" s="14">
        <f t="shared" si="132"/>
        <v>135</v>
      </c>
      <c r="P39" s="14">
        <f t="shared" si="132"/>
        <v>180</v>
      </c>
      <c r="Q39" s="14">
        <f t="shared" si="132"/>
        <v>225</v>
      </c>
      <c r="R39" s="14">
        <f t="shared" si="132"/>
        <v>270</v>
      </c>
      <c r="S39" s="14">
        <f t="shared" ref="S39" si="133">R39+S38</f>
        <v>315</v>
      </c>
      <c r="T39" s="14">
        <f t="shared" ref="T39" si="134">S39+T38</f>
        <v>360</v>
      </c>
      <c r="U39" s="14">
        <f t="shared" ref="U39" si="135">T39+U38</f>
        <v>405</v>
      </c>
      <c r="V39" s="14">
        <f t="shared" ref="V39" si="136">U39+V38</f>
        <v>450</v>
      </c>
      <c r="W39" s="14">
        <f t="shared" ref="W39" si="137">V39+W38</f>
        <v>495</v>
      </c>
      <c r="X39" s="14">
        <f t="shared" ref="X39" si="138">W39+X38</f>
        <v>540</v>
      </c>
      <c r="Y39" s="14">
        <f t="shared" ref="Y39" si="139">X39+Y38</f>
        <v>585</v>
      </c>
    </row>
    <row r="40" spans="1:25" x14ac:dyDescent="0.5">
      <c r="A40" s="14" t="s">
        <v>227</v>
      </c>
      <c r="F40" s="17">
        <v>3</v>
      </c>
      <c r="G40" s="14">
        <f>F40</f>
        <v>3</v>
      </c>
      <c r="H40" s="14">
        <f t="shared" ref="H40:R40" si="140">G40</f>
        <v>3</v>
      </c>
      <c r="I40" s="14">
        <f t="shared" si="140"/>
        <v>3</v>
      </c>
      <c r="J40" s="14">
        <f t="shared" si="140"/>
        <v>3</v>
      </c>
      <c r="K40" s="14">
        <f t="shared" si="140"/>
        <v>3</v>
      </c>
      <c r="L40" s="14">
        <f t="shared" si="140"/>
        <v>3</v>
      </c>
      <c r="M40" s="14">
        <f t="shared" si="140"/>
        <v>3</v>
      </c>
      <c r="N40" s="14">
        <f t="shared" si="140"/>
        <v>3</v>
      </c>
      <c r="O40" s="14">
        <f t="shared" si="140"/>
        <v>3</v>
      </c>
      <c r="P40" s="14">
        <f t="shared" si="140"/>
        <v>3</v>
      </c>
      <c r="Q40" s="14">
        <f t="shared" si="140"/>
        <v>3</v>
      </c>
      <c r="R40" s="14">
        <f t="shared" si="140"/>
        <v>3</v>
      </c>
      <c r="S40" s="14">
        <f t="shared" ref="S40:Y40" si="141">R40</f>
        <v>3</v>
      </c>
      <c r="T40" s="14">
        <f t="shared" si="141"/>
        <v>3</v>
      </c>
      <c r="U40" s="14">
        <f t="shared" si="141"/>
        <v>3</v>
      </c>
      <c r="V40" s="14">
        <f t="shared" si="141"/>
        <v>3</v>
      </c>
      <c r="W40" s="14">
        <f t="shared" si="141"/>
        <v>3</v>
      </c>
      <c r="X40" s="14">
        <f t="shared" si="141"/>
        <v>3</v>
      </c>
      <c r="Y40" s="14">
        <f t="shared" si="141"/>
        <v>3</v>
      </c>
    </row>
    <row r="41" spans="1:25" x14ac:dyDescent="0.5">
      <c r="A41" s="14" t="s">
        <v>228</v>
      </c>
      <c r="F41" s="14">
        <f>F40*3*F39</f>
        <v>0</v>
      </c>
      <c r="G41" s="14">
        <f t="shared" ref="G41:R41" si="142">G40*3*G39</f>
        <v>0</v>
      </c>
      <c r="H41" s="14">
        <f t="shared" si="142"/>
        <v>0</v>
      </c>
      <c r="I41" s="14">
        <f t="shared" si="142"/>
        <v>0</v>
      </c>
      <c r="J41" s="14">
        <f t="shared" si="142"/>
        <v>0</v>
      </c>
      <c r="K41" s="14">
        <f t="shared" si="142"/>
        <v>0</v>
      </c>
      <c r="L41" s="14">
        <f t="shared" si="142"/>
        <v>0</v>
      </c>
      <c r="M41" s="14">
        <f t="shared" si="142"/>
        <v>405</v>
      </c>
      <c r="N41" s="14">
        <f t="shared" si="142"/>
        <v>810</v>
      </c>
      <c r="O41" s="14">
        <f t="shared" si="142"/>
        <v>1215</v>
      </c>
      <c r="P41" s="14">
        <f t="shared" si="142"/>
        <v>1620</v>
      </c>
      <c r="Q41" s="14">
        <f t="shared" si="142"/>
        <v>2025</v>
      </c>
      <c r="R41" s="14">
        <f t="shared" si="142"/>
        <v>2430</v>
      </c>
      <c r="S41" s="14">
        <f t="shared" ref="S41" si="143">S40*3*S39</f>
        <v>2835</v>
      </c>
      <c r="T41" s="14">
        <f t="shared" ref="T41" si="144">T40*3*T39</f>
        <v>3240</v>
      </c>
      <c r="U41" s="14">
        <f t="shared" ref="U41" si="145">U40*3*U39</f>
        <v>3645</v>
      </c>
      <c r="V41" s="14">
        <f t="shared" ref="V41" si="146">V40*3*V39</f>
        <v>4050</v>
      </c>
      <c r="W41" s="14">
        <f t="shared" ref="W41" si="147">W40*3*W39</f>
        <v>4455</v>
      </c>
      <c r="X41" s="14">
        <f t="shared" ref="X41" si="148">X40*3*X39</f>
        <v>4860</v>
      </c>
      <c r="Y41" s="14">
        <f t="shared" ref="Y41" si="149">Y40*3*Y39</f>
        <v>5265</v>
      </c>
    </row>
    <row r="43" spans="1:25" x14ac:dyDescent="0.5">
      <c r="A43" s="14" t="s">
        <v>310</v>
      </c>
      <c r="F43" s="17">
        <v>1</v>
      </c>
      <c r="G43" s="14">
        <f>F43</f>
        <v>1</v>
      </c>
      <c r="H43" s="14">
        <f t="shared" ref="H43:Y43" si="150">G43</f>
        <v>1</v>
      </c>
      <c r="I43" s="14">
        <f t="shared" si="150"/>
        <v>1</v>
      </c>
      <c r="J43" s="14">
        <f t="shared" si="150"/>
        <v>1</v>
      </c>
      <c r="K43" s="14">
        <f t="shared" si="150"/>
        <v>1</v>
      </c>
      <c r="L43" s="14">
        <f t="shared" si="150"/>
        <v>1</v>
      </c>
      <c r="M43" s="14">
        <f t="shared" si="150"/>
        <v>1</v>
      </c>
      <c r="N43" s="14">
        <f t="shared" si="150"/>
        <v>1</v>
      </c>
      <c r="O43" s="14">
        <f t="shared" si="150"/>
        <v>1</v>
      </c>
      <c r="P43" s="14">
        <f t="shared" si="150"/>
        <v>1</v>
      </c>
      <c r="Q43" s="14">
        <f t="shared" si="150"/>
        <v>1</v>
      </c>
      <c r="R43" s="14">
        <f t="shared" si="150"/>
        <v>1</v>
      </c>
      <c r="S43" s="14">
        <f t="shared" si="150"/>
        <v>1</v>
      </c>
      <c r="T43" s="14">
        <f t="shared" si="150"/>
        <v>1</v>
      </c>
      <c r="U43" s="14">
        <f t="shared" si="150"/>
        <v>1</v>
      </c>
      <c r="V43" s="14">
        <f t="shared" si="150"/>
        <v>1</v>
      </c>
      <c r="W43" s="14">
        <f t="shared" si="150"/>
        <v>1</v>
      </c>
      <c r="X43" s="14">
        <f t="shared" si="150"/>
        <v>1</v>
      </c>
      <c r="Y43" s="14">
        <f t="shared" si="150"/>
        <v>1</v>
      </c>
    </row>
    <row r="44" spans="1:25" x14ac:dyDescent="0.5">
      <c r="A44" s="14" t="s">
        <v>224</v>
      </c>
      <c r="F44" s="17">
        <f>17705/17</f>
        <v>1041.4705882352941</v>
      </c>
      <c r="G44" s="14">
        <f t="shared" ref="G44:Y44" si="151">17705/17</f>
        <v>1041.4705882352941</v>
      </c>
      <c r="H44" s="14">
        <f t="shared" si="151"/>
        <v>1041.4705882352941</v>
      </c>
      <c r="I44" s="14">
        <f t="shared" si="151"/>
        <v>1041.4705882352941</v>
      </c>
      <c r="J44" s="14">
        <f t="shared" si="151"/>
        <v>1041.4705882352941</v>
      </c>
      <c r="K44" s="14">
        <f t="shared" si="151"/>
        <v>1041.4705882352941</v>
      </c>
      <c r="L44" s="14">
        <f t="shared" si="151"/>
        <v>1041.4705882352941</v>
      </c>
      <c r="M44" s="14">
        <f t="shared" si="151"/>
        <v>1041.4705882352941</v>
      </c>
      <c r="N44" s="14">
        <f t="shared" si="151"/>
        <v>1041.4705882352941</v>
      </c>
      <c r="O44" s="14">
        <f t="shared" si="151"/>
        <v>1041.4705882352941</v>
      </c>
      <c r="P44" s="14">
        <f t="shared" si="151"/>
        <v>1041.4705882352941</v>
      </c>
      <c r="Q44" s="14">
        <f t="shared" si="151"/>
        <v>1041.4705882352941</v>
      </c>
      <c r="R44" s="14">
        <f t="shared" si="151"/>
        <v>1041.4705882352941</v>
      </c>
      <c r="S44" s="14">
        <f t="shared" si="151"/>
        <v>1041.4705882352941</v>
      </c>
      <c r="T44" s="14">
        <f t="shared" si="151"/>
        <v>1041.4705882352941</v>
      </c>
      <c r="U44" s="14">
        <f t="shared" si="151"/>
        <v>1041.4705882352941</v>
      </c>
      <c r="V44" s="14">
        <f t="shared" si="151"/>
        <v>1041.4705882352941</v>
      </c>
      <c r="W44" s="14">
        <f t="shared" si="151"/>
        <v>1041.4705882352941</v>
      </c>
      <c r="X44" s="14">
        <f t="shared" si="151"/>
        <v>1041.4705882352941</v>
      </c>
      <c r="Y44" s="14">
        <f t="shared" si="151"/>
        <v>1041.4705882352941</v>
      </c>
    </row>
    <row r="45" spans="1:25" x14ac:dyDescent="0.5">
      <c r="A45" s="14" t="s">
        <v>225</v>
      </c>
      <c r="F45" s="17">
        <f>13841/17</f>
        <v>814.17647058823525</v>
      </c>
      <c r="G45" s="14">
        <f t="shared" ref="G45:Y45" si="152">13841/17</f>
        <v>814.17647058823525</v>
      </c>
      <c r="H45" s="14">
        <f t="shared" si="152"/>
        <v>814.17647058823525</v>
      </c>
      <c r="I45" s="14">
        <f t="shared" si="152"/>
        <v>814.17647058823525</v>
      </c>
      <c r="J45" s="14">
        <f t="shared" si="152"/>
        <v>814.17647058823525</v>
      </c>
      <c r="K45" s="14">
        <f t="shared" si="152"/>
        <v>814.17647058823525</v>
      </c>
      <c r="L45" s="14">
        <f t="shared" si="152"/>
        <v>814.17647058823525</v>
      </c>
      <c r="M45" s="14">
        <f t="shared" si="152"/>
        <v>814.17647058823525</v>
      </c>
      <c r="N45" s="14">
        <f t="shared" si="152"/>
        <v>814.17647058823525</v>
      </c>
      <c r="O45" s="14">
        <f t="shared" si="152"/>
        <v>814.17647058823525</v>
      </c>
      <c r="P45" s="14">
        <f t="shared" si="152"/>
        <v>814.17647058823525</v>
      </c>
      <c r="Q45" s="14">
        <f t="shared" si="152"/>
        <v>814.17647058823525</v>
      </c>
      <c r="R45" s="14">
        <f t="shared" si="152"/>
        <v>814.17647058823525</v>
      </c>
      <c r="S45" s="14">
        <f t="shared" si="152"/>
        <v>814.17647058823525</v>
      </c>
      <c r="T45" s="14">
        <f t="shared" si="152"/>
        <v>814.17647058823525</v>
      </c>
      <c r="U45" s="14">
        <f t="shared" si="152"/>
        <v>814.17647058823525</v>
      </c>
      <c r="V45" s="14">
        <f t="shared" si="152"/>
        <v>814.17647058823525</v>
      </c>
      <c r="W45" s="14">
        <f t="shared" si="152"/>
        <v>814.17647058823525</v>
      </c>
      <c r="X45" s="14">
        <f t="shared" si="152"/>
        <v>814.17647058823525</v>
      </c>
      <c r="Y45" s="14">
        <f t="shared" si="152"/>
        <v>814.17647058823525</v>
      </c>
    </row>
    <row r="46" spans="1:25" x14ac:dyDescent="0.5">
      <c r="A46" s="14" t="s">
        <v>311</v>
      </c>
      <c r="F46" s="17">
        <v>60</v>
      </c>
      <c r="G46" s="14">
        <f>F46</f>
        <v>60</v>
      </c>
      <c r="H46" s="14">
        <f t="shared" ref="H46:Y46" si="153">G46</f>
        <v>60</v>
      </c>
      <c r="I46" s="14">
        <f t="shared" si="153"/>
        <v>60</v>
      </c>
      <c r="J46" s="14">
        <f t="shared" si="153"/>
        <v>60</v>
      </c>
      <c r="K46" s="14">
        <f t="shared" si="153"/>
        <v>60</v>
      </c>
      <c r="L46" s="14">
        <f t="shared" si="153"/>
        <v>60</v>
      </c>
      <c r="M46" s="14">
        <f t="shared" si="153"/>
        <v>60</v>
      </c>
      <c r="N46" s="14">
        <f t="shared" si="153"/>
        <v>60</v>
      </c>
      <c r="O46" s="14">
        <f t="shared" si="153"/>
        <v>60</v>
      </c>
      <c r="P46" s="14">
        <f t="shared" si="153"/>
        <v>60</v>
      </c>
      <c r="Q46" s="14">
        <f t="shared" si="153"/>
        <v>60</v>
      </c>
      <c r="R46" s="14">
        <f t="shared" si="153"/>
        <v>60</v>
      </c>
      <c r="S46" s="14">
        <f t="shared" si="153"/>
        <v>60</v>
      </c>
      <c r="T46" s="14">
        <f t="shared" si="153"/>
        <v>60</v>
      </c>
      <c r="U46" s="14">
        <f t="shared" si="153"/>
        <v>60</v>
      </c>
      <c r="V46" s="14">
        <f t="shared" si="153"/>
        <v>60</v>
      </c>
      <c r="W46" s="14">
        <f t="shared" si="153"/>
        <v>60</v>
      </c>
      <c r="X46" s="14">
        <f t="shared" si="153"/>
        <v>60</v>
      </c>
      <c r="Y46" s="14">
        <f t="shared" si="153"/>
        <v>60</v>
      </c>
    </row>
    <row r="48" spans="1:25" x14ac:dyDescent="0.5">
      <c r="A48" s="14" t="s">
        <v>229</v>
      </c>
      <c r="F48" s="14">
        <f>F44*F41</f>
        <v>0</v>
      </c>
      <c r="G48" s="14">
        <f t="shared" ref="G48:Y48" si="154">G44*G41</f>
        <v>0</v>
      </c>
      <c r="H48" s="14">
        <f t="shared" si="154"/>
        <v>0</v>
      </c>
      <c r="I48" s="14">
        <f t="shared" si="154"/>
        <v>0</v>
      </c>
      <c r="J48" s="14">
        <f t="shared" si="154"/>
        <v>0</v>
      </c>
      <c r="K48" s="14">
        <f t="shared" si="154"/>
        <v>0</v>
      </c>
      <c r="L48" s="14">
        <f t="shared" si="154"/>
        <v>0</v>
      </c>
      <c r="M48" s="14">
        <f t="shared" si="154"/>
        <v>421795.58823529416</v>
      </c>
      <c r="N48" s="14">
        <f t="shared" si="154"/>
        <v>843591.17647058831</v>
      </c>
      <c r="O48" s="14">
        <f t="shared" si="154"/>
        <v>1265386.7647058824</v>
      </c>
      <c r="P48" s="14">
        <f t="shared" si="154"/>
        <v>1687182.3529411766</v>
      </c>
      <c r="Q48" s="14">
        <f t="shared" si="154"/>
        <v>2108977.9411764708</v>
      </c>
      <c r="R48" s="14">
        <f t="shared" si="154"/>
        <v>2530773.5294117648</v>
      </c>
      <c r="S48" s="14">
        <f t="shared" si="154"/>
        <v>2952569.1176470588</v>
      </c>
      <c r="T48" s="14">
        <f t="shared" si="154"/>
        <v>3374364.7058823532</v>
      </c>
      <c r="U48" s="14">
        <f t="shared" si="154"/>
        <v>3796160.2941176472</v>
      </c>
      <c r="V48" s="14">
        <f t="shared" si="154"/>
        <v>4217955.8823529417</v>
      </c>
      <c r="W48" s="14">
        <f t="shared" si="154"/>
        <v>4639751.4705882352</v>
      </c>
      <c r="X48" s="14">
        <f t="shared" si="154"/>
        <v>5061547.0588235296</v>
      </c>
      <c r="Y48" s="14">
        <f t="shared" si="154"/>
        <v>5483342.6470588241</v>
      </c>
    </row>
    <row r="49" spans="1:25" x14ac:dyDescent="0.5">
      <c r="A49" s="14" t="s">
        <v>230</v>
      </c>
      <c r="F49" s="14">
        <f>F41*F45</f>
        <v>0</v>
      </c>
      <c r="G49" s="14">
        <f t="shared" ref="G49:Y49" si="155">G41*G45</f>
        <v>0</v>
      </c>
      <c r="H49" s="14">
        <f t="shared" si="155"/>
        <v>0</v>
      </c>
      <c r="I49" s="14">
        <f t="shared" si="155"/>
        <v>0</v>
      </c>
      <c r="J49" s="14">
        <f t="shared" si="155"/>
        <v>0</v>
      </c>
      <c r="K49" s="14">
        <f t="shared" si="155"/>
        <v>0</v>
      </c>
      <c r="L49" s="14">
        <f t="shared" si="155"/>
        <v>0</v>
      </c>
      <c r="M49" s="14">
        <f t="shared" si="155"/>
        <v>329741.4705882353</v>
      </c>
      <c r="N49" s="14">
        <f t="shared" si="155"/>
        <v>659482.9411764706</v>
      </c>
      <c r="O49" s="14">
        <f t="shared" si="155"/>
        <v>989224.41176470579</v>
      </c>
      <c r="P49" s="14">
        <f t="shared" si="155"/>
        <v>1318965.8823529412</v>
      </c>
      <c r="Q49" s="14">
        <f t="shared" si="155"/>
        <v>1648707.3529411764</v>
      </c>
      <c r="R49" s="14">
        <f t="shared" si="155"/>
        <v>1978448.8235294116</v>
      </c>
      <c r="S49" s="14">
        <f t="shared" si="155"/>
        <v>2308190.2941176468</v>
      </c>
      <c r="T49" s="14">
        <f t="shared" si="155"/>
        <v>2637931.7647058824</v>
      </c>
      <c r="U49" s="14">
        <f t="shared" si="155"/>
        <v>2967673.2352941176</v>
      </c>
      <c r="V49" s="14">
        <f t="shared" si="155"/>
        <v>3297414.7058823528</v>
      </c>
      <c r="W49" s="14">
        <f t="shared" si="155"/>
        <v>3627156.176470588</v>
      </c>
      <c r="X49" s="14">
        <f t="shared" si="155"/>
        <v>3956897.6470588231</v>
      </c>
      <c r="Y49" s="14">
        <f t="shared" si="155"/>
        <v>4286639.1176470583</v>
      </c>
    </row>
    <row r="51" spans="1:25" x14ac:dyDescent="0.5">
      <c r="A51" s="14" t="s">
        <v>236</v>
      </c>
      <c r="F51" s="14">
        <f>F56</f>
        <v>0</v>
      </c>
      <c r="G51" s="14">
        <f t="shared" ref="G51:Y51" si="156">G56</f>
        <v>0</v>
      </c>
      <c r="H51" s="14">
        <f t="shared" si="156"/>
        <v>0</v>
      </c>
      <c r="I51" s="14">
        <f t="shared" si="156"/>
        <v>0</v>
      </c>
      <c r="J51" s="14">
        <f t="shared" si="156"/>
        <v>0</v>
      </c>
      <c r="K51" s="14">
        <f t="shared" si="156"/>
        <v>0</v>
      </c>
      <c r="L51" s="14">
        <f t="shared" si="156"/>
        <v>0</v>
      </c>
      <c r="M51" s="14">
        <f t="shared" si="156"/>
        <v>7</v>
      </c>
      <c r="N51" s="14">
        <f t="shared" si="156"/>
        <v>14</v>
      </c>
      <c r="O51" s="14">
        <f t="shared" si="156"/>
        <v>20</v>
      </c>
      <c r="P51" s="14">
        <f t="shared" si="156"/>
        <v>27</v>
      </c>
      <c r="Q51" s="14">
        <f t="shared" si="156"/>
        <v>34</v>
      </c>
      <c r="R51" s="14">
        <f t="shared" si="156"/>
        <v>41</v>
      </c>
      <c r="S51" s="14">
        <f t="shared" si="156"/>
        <v>47</v>
      </c>
      <c r="T51" s="14">
        <f t="shared" si="156"/>
        <v>54</v>
      </c>
      <c r="U51" s="14">
        <f t="shared" si="156"/>
        <v>61</v>
      </c>
      <c r="V51" s="14">
        <f t="shared" si="156"/>
        <v>68</v>
      </c>
      <c r="W51" s="14">
        <f t="shared" si="156"/>
        <v>74</v>
      </c>
      <c r="X51" s="14">
        <f t="shared" si="156"/>
        <v>81</v>
      </c>
      <c r="Y51" s="14">
        <f t="shared" si="156"/>
        <v>88</v>
      </c>
    </row>
    <row r="52" spans="1:25" x14ac:dyDescent="0.5">
      <c r="A52" s="14" t="s">
        <v>237</v>
      </c>
      <c r="F52" s="14">
        <f>F35</f>
        <v>0</v>
      </c>
      <c r="G52" s="14">
        <f t="shared" ref="G52:Y52" si="157">G35</f>
        <v>0</v>
      </c>
      <c r="H52" s="14">
        <f t="shared" si="157"/>
        <v>0</v>
      </c>
      <c r="I52" s="14">
        <f t="shared" si="157"/>
        <v>0</v>
      </c>
      <c r="J52" s="14">
        <f t="shared" si="157"/>
        <v>0</v>
      </c>
      <c r="K52" s="14">
        <f t="shared" si="157"/>
        <v>0</v>
      </c>
      <c r="L52" s="14">
        <f t="shared" si="157"/>
        <v>0</v>
      </c>
      <c r="M52" s="14">
        <f t="shared" si="157"/>
        <v>3</v>
      </c>
      <c r="N52" s="14">
        <f t="shared" si="157"/>
        <v>3</v>
      </c>
      <c r="O52" s="14">
        <f t="shared" si="157"/>
        <v>3</v>
      </c>
      <c r="P52" s="14">
        <f t="shared" si="157"/>
        <v>3</v>
      </c>
      <c r="Q52" s="14">
        <f t="shared" si="157"/>
        <v>3</v>
      </c>
      <c r="R52" s="14">
        <f t="shared" si="157"/>
        <v>3</v>
      </c>
      <c r="S52" s="14">
        <f t="shared" si="157"/>
        <v>3</v>
      </c>
      <c r="T52" s="14">
        <f t="shared" si="157"/>
        <v>3</v>
      </c>
      <c r="U52" s="14">
        <f t="shared" si="157"/>
        <v>3</v>
      </c>
      <c r="V52" s="14">
        <f t="shared" si="157"/>
        <v>3</v>
      </c>
      <c r="W52" s="14">
        <f t="shared" si="157"/>
        <v>3</v>
      </c>
      <c r="X52" s="14">
        <f t="shared" si="157"/>
        <v>3</v>
      </c>
      <c r="Y52" s="14">
        <f t="shared" si="157"/>
        <v>3</v>
      </c>
    </row>
    <row r="53" spans="1:25" x14ac:dyDescent="0.5">
      <c r="A53" s="14" t="s">
        <v>238</v>
      </c>
      <c r="F53" s="14">
        <f>F41</f>
        <v>0</v>
      </c>
      <c r="G53" s="14">
        <f t="shared" ref="G53:Y53" si="158">G41</f>
        <v>0</v>
      </c>
      <c r="H53" s="14">
        <f t="shared" si="158"/>
        <v>0</v>
      </c>
      <c r="I53" s="14">
        <f t="shared" si="158"/>
        <v>0</v>
      </c>
      <c r="J53" s="14">
        <f t="shared" si="158"/>
        <v>0</v>
      </c>
      <c r="K53" s="14">
        <f t="shared" si="158"/>
        <v>0</v>
      </c>
      <c r="L53" s="14">
        <f t="shared" si="158"/>
        <v>0</v>
      </c>
      <c r="M53" s="14">
        <f t="shared" si="158"/>
        <v>405</v>
      </c>
      <c r="N53" s="14">
        <f t="shared" si="158"/>
        <v>810</v>
      </c>
      <c r="O53" s="14">
        <f t="shared" si="158"/>
        <v>1215</v>
      </c>
      <c r="P53" s="14">
        <f t="shared" si="158"/>
        <v>1620</v>
      </c>
      <c r="Q53" s="14">
        <f t="shared" si="158"/>
        <v>2025</v>
      </c>
      <c r="R53" s="14">
        <f t="shared" si="158"/>
        <v>2430</v>
      </c>
      <c r="S53" s="14">
        <f t="shared" si="158"/>
        <v>2835</v>
      </c>
      <c r="T53" s="14">
        <f t="shared" si="158"/>
        <v>3240</v>
      </c>
      <c r="U53" s="14">
        <f t="shared" si="158"/>
        <v>3645</v>
      </c>
      <c r="V53" s="14">
        <f t="shared" si="158"/>
        <v>4050</v>
      </c>
      <c r="W53" s="14">
        <f t="shared" si="158"/>
        <v>4455</v>
      </c>
      <c r="X53" s="14">
        <f t="shared" si="158"/>
        <v>4860</v>
      </c>
      <c r="Y53" s="14">
        <f t="shared" si="158"/>
        <v>5265</v>
      </c>
    </row>
    <row r="55" spans="1:25" ht="10.75" x14ac:dyDescent="0.55000000000000004">
      <c r="A55" s="39" t="s">
        <v>235</v>
      </c>
    </row>
    <row r="56" spans="1:25" x14ac:dyDescent="0.5">
      <c r="A56" s="14" t="s">
        <v>231</v>
      </c>
      <c r="F56" s="14">
        <f>ROUND(F41/F46,0)</f>
        <v>0</v>
      </c>
      <c r="G56" s="14">
        <f t="shared" ref="G56:Y56" si="159">ROUND(G41/G46,0)</f>
        <v>0</v>
      </c>
      <c r="H56" s="14">
        <f t="shared" si="159"/>
        <v>0</v>
      </c>
      <c r="I56" s="14">
        <f t="shared" si="159"/>
        <v>0</v>
      </c>
      <c r="J56" s="14">
        <f t="shared" si="159"/>
        <v>0</v>
      </c>
      <c r="K56" s="14">
        <f t="shared" si="159"/>
        <v>0</v>
      </c>
      <c r="L56" s="14">
        <f t="shared" si="159"/>
        <v>0</v>
      </c>
      <c r="M56" s="14">
        <f t="shared" si="159"/>
        <v>7</v>
      </c>
      <c r="N56" s="14">
        <f t="shared" si="159"/>
        <v>14</v>
      </c>
      <c r="O56" s="14">
        <f t="shared" si="159"/>
        <v>20</v>
      </c>
      <c r="P56" s="14">
        <f t="shared" si="159"/>
        <v>27</v>
      </c>
      <c r="Q56" s="14">
        <f t="shared" si="159"/>
        <v>34</v>
      </c>
      <c r="R56" s="14">
        <f t="shared" si="159"/>
        <v>41</v>
      </c>
      <c r="S56" s="14">
        <f t="shared" si="159"/>
        <v>47</v>
      </c>
      <c r="T56" s="14">
        <f t="shared" si="159"/>
        <v>54</v>
      </c>
      <c r="U56" s="14">
        <f t="shared" si="159"/>
        <v>61</v>
      </c>
      <c r="V56" s="14">
        <f t="shared" si="159"/>
        <v>68</v>
      </c>
      <c r="W56" s="14">
        <f t="shared" si="159"/>
        <v>74</v>
      </c>
      <c r="X56" s="14">
        <f t="shared" si="159"/>
        <v>81</v>
      </c>
      <c r="Y56" s="14">
        <f t="shared" si="159"/>
        <v>88</v>
      </c>
    </row>
    <row r="57" spans="1:25" x14ac:dyDescent="0.5">
      <c r="A57" s="14" t="s">
        <v>232</v>
      </c>
      <c r="F57" s="14">
        <f>F56*25000/4</f>
        <v>0</v>
      </c>
      <c r="G57" s="14">
        <f t="shared" ref="G57:Y57" si="160">G56*25000/4</f>
        <v>0</v>
      </c>
      <c r="H57" s="14">
        <f t="shared" si="160"/>
        <v>0</v>
      </c>
      <c r="I57" s="14">
        <f t="shared" si="160"/>
        <v>0</v>
      </c>
      <c r="J57" s="14">
        <f t="shared" si="160"/>
        <v>0</v>
      </c>
      <c r="K57" s="14">
        <f t="shared" si="160"/>
        <v>0</v>
      </c>
      <c r="L57" s="14">
        <f t="shared" si="160"/>
        <v>0</v>
      </c>
      <c r="M57" s="14">
        <f t="shared" si="160"/>
        <v>43750</v>
      </c>
      <c r="N57" s="14">
        <f t="shared" si="160"/>
        <v>87500</v>
      </c>
      <c r="O57" s="14">
        <f t="shared" si="160"/>
        <v>125000</v>
      </c>
      <c r="P57" s="14">
        <f t="shared" si="160"/>
        <v>168750</v>
      </c>
      <c r="Q57" s="14">
        <f t="shared" si="160"/>
        <v>212500</v>
      </c>
      <c r="R57" s="14">
        <f t="shared" si="160"/>
        <v>256250</v>
      </c>
      <c r="S57" s="14">
        <f t="shared" si="160"/>
        <v>293750</v>
      </c>
      <c r="T57" s="14">
        <f t="shared" si="160"/>
        <v>337500</v>
      </c>
      <c r="U57" s="14">
        <f t="shared" si="160"/>
        <v>381250</v>
      </c>
      <c r="V57" s="14">
        <f t="shared" si="160"/>
        <v>425000</v>
      </c>
      <c r="W57" s="14">
        <f t="shared" si="160"/>
        <v>462500</v>
      </c>
      <c r="X57" s="14">
        <f t="shared" si="160"/>
        <v>506250</v>
      </c>
      <c r="Y57" s="14">
        <f t="shared" si="160"/>
        <v>550000</v>
      </c>
    </row>
    <row r="58" spans="1:25" x14ac:dyDescent="0.5">
      <c r="A58" s="14" t="s">
        <v>234</v>
      </c>
      <c r="F58" s="14">
        <f>50000/4*F35</f>
        <v>0</v>
      </c>
      <c r="G58" s="14">
        <f t="shared" ref="G58:Y58" si="161">50000/4*G35</f>
        <v>0</v>
      </c>
      <c r="H58" s="14">
        <f t="shared" si="161"/>
        <v>0</v>
      </c>
      <c r="I58" s="14">
        <f t="shared" si="161"/>
        <v>0</v>
      </c>
      <c r="J58" s="14">
        <f t="shared" si="161"/>
        <v>0</v>
      </c>
      <c r="K58" s="14">
        <f t="shared" si="161"/>
        <v>0</v>
      </c>
      <c r="L58" s="14">
        <f t="shared" si="161"/>
        <v>0</v>
      </c>
      <c r="M58" s="14">
        <f t="shared" si="161"/>
        <v>37500</v>
      </c>
      <c r="N58" s="14">
        <f t="shared" si="161"/>
        <v>37500</v>
      </c>
      <c r="O58" s="14">
        <f t="shared" si="161"/>
        <v>37500</v>
      </c>
      <c r="P58" s="14">
        <f t="shared" si="161"/>
        <v>37500</v>
      </c>
      <c r="Q58" s="14">
        <f t="shared" si="161"/>
        <v>37500</v>
      </c>
      <c r="R58" s="14">
        <f t="shared" si="161"/>
        <v>37500</v>
      </c>
      <c r="S58" s="14">
        <f t="shared" si="161"/>
        <v>37500</v>
      </c>
      <c r="T58" s="14">
        <f t="shared" si="161"/>
        <v>37500</v>
      </c>
      <c r="U58" s="14">
        <f t="shared" si="161"/>
        <v>37500</v>
      </c>
      <c r="V58" s="14">
        <f t="shared" si="161"/>
        <v>37500</v>
      </c>
      <c r="W58" s="14">
        <f t="shared" si="161"/>
        <v>37500</v>
      </c>
      <c r="X58" s="14">
        <f t="shared" si="161"/>
        <v>37500</v>
      </c>
      <c r="Y58" s="14">
        <f t="shared" si="161"/>
        <v>37500</v>
      </c>
    </row>
    <row r="59" spans="1:25" x14ac:dyDescent="0.5">
      <c r="A59" s="14" t="s">
        <v>233</v>
      </c>
      <c r="F59" s="14">
        <f>SUM(F57:F58)*13%</f>
        <v>0</v>
      </c>
      <c r="G59" s="14">
        <f t="shared" ref="G59:Y59" si="162">SUM(G57:G58)*13%</f>
        <v>0</v>
      </c>
      <c r="H59" s="14">
        <f t="shared" si="162"/>
        <v>0</v>
      </c>
      <c r="I59" s="14">
        <f t="shared" si="162"/>
        <v>0</v>
      </c>
      <c r="J59" s="14">
        <f t="shared" si="162"/>
        <v>0</v>
      </c>
      <c r="K59" s="14">
        <f t="shared" si="162"/>
        <v>0</v>
      </c>
      <c r="L59" s="14">
        <f t="shared" si="162"/>
        <v>0</v>
      </c>
      <c r="M59" s="14">
        <f t="shared" si="162"/>
        <v>10562.5</v>
      </c>
      <c r="N59" s="14">
        <f t="shared" si="162"/>
        <v>16250</v>
      </c>
      <c r="O59" s="14">
        <f t="shared" si="162"/>
        <v>21125</v>
      </c>
      <c r="P59" s="14">
        <f t="shared" si="162"/>
        <v>26812.5</v>
      </c>
      <c r="Q59" s="14">
        <f t="shared" si="162"/>
        <v>32500</v>
      </c>
      <c r="R59" s="14">
        <f t="shared" si="162"/>
        <v>38187.5</v>
      </c>
      <c r="S59" s="14">
        <f t="shared" si="162"/>
        <v>43062.5</v>
      </c>
      <c r="T59" s="14">
        <f t="shared" si="162"/>
        <v>48750</v>
      </c>
      <c r="U59" s="14">
        <f t="shared" si="162"/>
        <v>54437.5</v>
      </c>
      <c r="V59" s="14">
        <f t="shared" si="162"/>
        <v>60125</v>
      </c>
      <c r="W59" s="14">
        <f t="shared" si="162"/>
        <v>65000</v>
      </c>
      <c r="X59" s="14">
        <f t="shared" si="162"/>
        <v>70687.5</v>
      </c>
      <c r="Y59" s="14">
        <f t="shared" si="162"/>
        <v>76375</v>
      </c>
    </row>
    <row r="60" spans="1:25" x14ac:dyDescent="0.5">
      <c r="A60" s="55" t="s">
        <v>239</v>
      </c>
      <c r="B60" s="56"/>
      <c r="C60" s="56"/>
      <c r="D60" s="56"/>
      <c r="E60" s="56"/>
      <c r="F60" s="55">
        <f t="shared" ref="F60:L60" si="163">F48-F49-F57-F58-F59</f>
        <v>0</v>
      </c>
      <c r="G60" s="55">
        <f t="shared" si="163"/>
        <v>0</v>
      </c>
      <c r="H60" s="55">
        <f t="shared" si="163"/>
        <v>0</v>
      </c>
      <c r="I60" s="55">
        <f t="shared" si="163"/>
        <v>0</v>
      </c>
      <c r="J60" s="55">
        <f t="shared" si="163"/>
        <v>0</v>
      </c>
      <c r="K60" s="55">
        <f t="shared" si="163"/>
        <v>0</v>
      </c>
      <c r="L60" s="55">
        <f t="shared" si="163"/>
        <v>0</v>
      </c>
      <c r="M60" s="55">
        <f>M48-M49-M57-M58-M59</f>
        <v>241.61764705885435</v>
      </c>
      <c r="N60" s="55">
        <f t="shared" ref="N60:Y60" si="164">N48-N49-N57-N58-N59</f>
        <v>42858.235294117709</v>
      </c>
      <c r="O60" s="55">
        <f t="shared" si="164"/>
        <v>92537.352941176621</v>
      </c>
      <c r="P60" s="55">
        <f t="shared" si="164"/>
        <v>135153.97058823542</v>
      </c>
      <c r="Q60" s="55">
        <f t="shared" si="164"/>
        <v>177770.58823529445</v>
      </c>
      <c r="R60" s="55">
        <f t="shared" si="164"/>
        <v>220387.20588235324</v>
      </c>
      <c r="S60" s="55">
        <f t="shared" si="164"/>
        <v>270066.32352941204</v>
      </c>
      <c r="T60" s="55">
        <f t="shared" si="164"/>
        <v>312682.94117647083</v>
      </c>
      <c r="U60" s="55">
        <f t="shared" si="164"/>
        <v>355299.55882352963</v>
      </c>
      <c r="V60" s="55">
        <f t="shared" si="164"/>
        <v>397916.17647058889</v>
      </c>
      <c r="W60" s="55">
        <f t="shared" si="164"/>
        <v>447595.29411764722</v>
      </c>
      <c r="X60" s="55">
        <f t="shared" si="164"/>
        <v>490211.91176470648</v>
      </c>
      <c r="Y60" s="55">
        <f t="shared" si="164"/>
        <v>532828.52941176575</v>
      </c>
    </row>
    <row r="62" spans="1:25" x14ac:dyDescent="0.5">
      <c r="A62" s="14" t="s">
        <v>234</v>
      </c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B422-61FF-48DD-8F86-B409659436DE}">
  <sheetPr>
    <tabColor theme="8" tint="0.79998168889431442"/>
  </sheetPr>
  <dimension ref="A1:Y139"/>
  <sheetViews>
    <sheetView zoomScaleNormal="100" workbookViewId="0"/>
  </sheetViews>
  <sheetFormatPr defaultColWidth="8.83203125" defaultRowHeight="10.5" x14ac:dyDescent="0.5"/>
  <cols>
    <col min="1" max="1" width="24.4140625" style="14" customWidth="1"/>
    <col min="2" max="5" width="8.83203125" style="23"/>
    <col min="6" max="6" width="8.83203125" style="14"/>
    <col min="7" max="7" width="9.33203125" style="14" bestFit="1" customWidth="1"/>
    <col min="8" max="16384" width="8.83203125" style="14"/>
  </cols>
  <sheetData>
    <row r="1" spans="1:25" s="13" customFormat="1" x14ac:dyDescent="0.5">
      <c r="A1" s="15" t="s">
        <v>246</v>
      </c>
      <c r="B1" s="20"/>
      <c r="C1" s="20"/>
      <c r="D1" s="20"/>
      <c r="E1" s="20"/>
    </row>
    <row r="2" spans="1:25" s="13" customFormat="1" x14ac:dyDescent="0.5">
      <c r="B2" s="20"/>
      <c r="C2" s="20"/>
      <c r="D2" s="20"/>
      <c r="E2" s="20">
        <v>4</v>
      </c>
      <c r="F2" s="13">
        <f>E2+1</f>
        <v>5</v>
      </c>
      <c r="G2" s="13">
        <f t="shared" ref="G2:Y2" si="0">F2+1</f>
        <v>6</v>
      </c>
      <c r="H2" s="13">
        <f t="shared" si="0"/>
        <v>7</v>
      </c>
      <c r="I2" s="13">
        <f t="shared" si="0"/>
        <v>8</v>
      </c>
      <c r="J2" s="13">
        <f t="shared" si="0"/>
        <v>9</v>
      </c>
      <c r="K2" s="13">
        <f t="shared" si="0"/>
        <v>10</v>
      </c>
      <c r="L2" s="13">
        <f t="shared" si="0"/>
        <v>11</v>
      </c>
      <c r="M2" s="13">
        <f t="shared" si="0"/>
        <v>12</v>
      </c>
      <c r="N2" s="13">
        <f t="shared" si="0"/>
        <v>13</v>
      </c>
      <c r="O2" s="13">
        <f t="shared" si="0"/>
        <v>14</v>
      </c>
      <c r="P2" s="13">
        <f t="shared" si="0"/>
        <v>15</v>
      </c>
      <c r="Q2" s="13">
        <f t="shared" si="0"/>
        <v>16</v>
      </c>
      <c r="R2" s="13">
        <f t="shared" si="0"/>
        <v>17</v>
      </c>
      <c r="S2" s="13">
        <f t="shared" si="0"/>
        <v>18</v>
      </c>
      <c r="T2" s="13">
        <f t="shared" si="0"/>
        <v>19</v>
      </c>
      <c r="U2" s="13">
        <f t="shared" si="0"/>
        <v>20</v>
      </c>
      <c r="V2" s="13">
        <f t="shared" si="0"/>
        <v>21</v>
      </c>
      <c r="W2" s="13">
        <f t="shared" si="0"/>
        <v>22</v>
      </c>
      <c r="X2" s="13">
        <f t="shared" si="0"/>
        <v>23</v>
      </c>
      <c r="Y2" s="13">
        <f t="shared" si="0"/>
        <v>24</v>
      </c>
    </row>
    <row r="3" spans="1:25" s="13" customFormat="1" x14ac:dyDescent="0.5">
      <c r="A3" s="13" t="s">
        <v>119</v>
      </c>
      <c r="B3" s="20">
        <v>2022</v>
      </c>
      <c r="C3" s="20">
        <v>2022</v>
      </c>
      <c r="D3" s="20">
        <v>2022</v>
      </c>
      <c r="E3" s="20">
        <v>2022</v>
      </c>
      <c r="F3" s="13">
        <f>B3+1</f>
        <v>2023</v>
      </c>
      <c r="G3" s="13">
        <f t="shared" ref="G3:Y3" si="1">C3+1</f>
        <v>2023</v>
      </c>
      <c r="H3" s="13">
        <f t="shared" si="1"/>
        <v>2023</v>
      </c>
      <c r="I3" s="13">
        <f t="shared" si="1"/>
        <v>2023</v>
      </c>
      <c r="J3" s="13">
        <f t="shared" si="1"/>
        <v>2024</v>
      </c>
      <c r="K3" s="13">
        <f t="shared" si="1"/>
        <v>2024</v>
      </c>
      <c r="L3" s="13">
        <f t="shared" si="1"/>
        <v>2024</v>
      </c>
      <c r="M3" s="13">
        <f t="shared" si="1"/>
        <v>2024</v>
      </c>
      <c r="N3" s="13">
        <f t="shared" si="1"/>
        <v>2025</v>
      </c>
      <c r="O3" s="13">
        <f t="shared" si="1"/>
        <v>2025</v>
      </c>
      <c r="P3" s="13">
        <f t="shared" si="1"/>
        <v>2025</v>
      </c>
      <c r="Q3" s="13">
        <f t="shared" si="1"/>
        <v>2025</v>
      </c>
      <c r="R3" s="13">
        <f t="shared" si="1"/>
        <v>2026</v>
      </c>
      <c r="S3" s="13">
        <f t="shared" si="1"/>
        <v>2026</v>
      </c>
      <c r="T3" s="13">
        <f t="shared" si="1"/>
        <v>2026</v>
      </c>
      <c r="U3" s="13">
        <f t="shared" si="1"/>
        <v>2026</v>
      </c>
      <c r="V3" s="13">
        <f t="shared" si="1"/>
        <v>2027</v>
      </c>
      <c r="W3" s="13">
        <f t="shared" si="1"/>
        <v>2027</v>
      </c>
      <c r="X3" s="13">
        <f t="shared" si="1"/>
        <v>2027</v>
      </c>
      <c r="Y3" s="13">
        <f t="shared" si="1"/>
        <v>2027</v>
      </c>
    </row>
    <row r="4" spans="1:25" s="13" customFormat="1" x14ac:dyDescent="0.5">
      <c r="A4" s="13" t="s">
        <v>120</v>
      </c>
      <c r="B4" s="20">
        <v>1</v>
      </c>
      <c r="C4" s="20">
        <f>B4+1</f>
        <v>2</v>
      </c>
      <c r="D4" s="20">
        <f t="shared" ref="D4:E4" si="2">C4+1</f>
        <v>3</v>
      </c>
      <c r="E4" s="20">
        <f t="shared" si="2"/>
        <v>4</v>
      </c>
      <c r="F4" s="13">
        <f>B4</f>
        <v>1</v>
      </c>
      <c r="G4" s="13">
        <f t="shared" ref="G4:Y4" si="3">C4</f>
        <v>2</v>
      </c>
      <c r="H4" s="13">
        <f t="shared" si="3"/>
        <v>3</v>
      </c>
      <c r="I4" s="13">
        <f t="shared" si="3"/>
        <v>4</v>
      </c>
      <c r="J4" s="13">
        <f t="shared" si="3"/>
        <v>1</v>
      </c>
      <c r="K4" s="13">
        <f t="shared" si="3"/>
        <v>2</v>
      </c>
      <c r="L4" s="13">
        <f t="shared" si="3"/>
        <v>3</v>
      </c>
      <c r="M4" s="13">
        <f t="shared" si="3"/>
        <v>4</v>
      </c>
      <c r="N4" s="13">
        <f t="shared" si="3"/>
        <v>1</v>
      </c>
      <c r="O4" s="13">
        <f t="shared" si="3"/>
        <v>2</v>
      </c>
      <c r="P4" s="13">
        <f t="shared" si="3"/>
        <v>3</v>
      </c>
      <c r="Q4" s="13">
        <f t="shared" si="3"/>
        <v>4</v>
      </c>
      <c r="R4" s="13">
        <f t="shared" si="3"/>
        <v>1</v>
      </c>
      <c r="S4" s="13">
        <f t="shared" si="3"/>
        <v>2</v>
      </c>
      <c r="T4" s="13">
        <f t="shared" si="3"/>
        <v>3</v>
      </c>
      <c r="U4" s="13">
        <f t="shared" si="3"/>
        <v>4</v>
      </c>
      <c r="V4" s="13">
        <f t="shared" si="3"/>
        <v>1</v>
      </c>
      <c r="W4" s="13">
        <f t="shared" si="3"/>
        <v>2</v>
      </c>
      <c r="X4" s="13">
        <f t="shared" si="3"/>
        <v>3</v>
      </c>
      <c r="Y4" s="13">
        <f t="shared" si="3"/>
        <v>4</v>
      </c>
    </row>
    <row r="5" spans="1:25" s="13" customFormat="1" x14ac:dyDescent="0.5">
      <c r="B5" s="20"/>
      <c r="C5" s="20"/>
      <c r="D5" s="20"/>
      <c r="E5" s="20"/>
    </row>
    <row r="6" spans="1:25" x14ac:dyDescent="0.5">
      <c r="A6" s="31" t="s">
        <v>159</v>
      </c>
      <c r="B6" s="21"/>
      <c r="C6" s="21"/>
      <c r="D6" s="21"/>
      <c r="E6" s="21"/>
    </row>
    <row r="7" spans="1:25" x14ac:dyDescent="0.5">
      <c r="A7" s="14" t="s">
        <v>260</v>
      </c>
      <c r="B7" s="21">
        <f>Operational!B7</f>
        <v>132</v>
      </c>
      <c r="C7" s="21">
        <f>Operational!C7</f>
        <v>83</v>
      </c>
      <c r="D7" s="21">
        <f>Operational!D7</f>
        <v>113</v>
      </c>
      <c r="E7" s="21">
        <f>Operational!E7</f>
        <v>70</v>
      </c>
      <c r="F7" s="14">
        <f>Operational!F9</f>
        <v>165</v>
      </c>
      <c r="G7" s="14">
        <f>Operational!G9</f>
        <v>221</v>
      </c>
      <c r="H7" s="14">
        <f>Operational!H9</f>
        <v>254</v>
      </c>
      <c r="I7" s="14">
        <f>Operational!I9</f>
        <v>305</v>
      </c>
      <c r="J7" s="14">
        <f>Operational!J9</f>
        <v>381</v>
      </c>
      <c r="K7" s="14">
        <f>Operational!K9</f>
        <v>477</v>
      </c>
      <c r="L7" s="14">
        <f>Operational!L9</f>
        <v>596</v>
      </c>
      <c r="M7" s="14">
        <f>Operational!M9</f>
        <v>1150</v>
      </c>
      <c r="N7" s="14">
        <f>Operational!N9</f>
        <v>1741</v>
      </c>
      <c r="O7" s="14">
        <f>Operational!O9</f>
        <v>2379</v>
      </c>
      <c r="P7" s="14">
        <f>Operational!P9</f>
        <v>3075</v>
      </c>
      <c r="Q7" s="14">
        <f>Operational!Q9</f>
        <v>3843</v>
      </c>
      <c r="R7" s="14">
        <f>Operational!R9</f>
        <v>4703</v>
      </c>
      <c r="S7" s="14">
        <f>Operational!S9</f>
        <v>5676</v>
      </c>
      <c r="T7" s="14">
        <f>Operational!T9</f>
        <v>6792</v>
      </c>
      <c r="U7" s="14">
        <f>Operational!U9</f>
        <v>8084</v>
      </c>
      <c r="V7" s="14">
        <f>Operational!V9</f>
        <v>9599</v>
      </c>
      <c r="W7" s="14">
        <f>Operational!W9</f>
        <v>11392</v>
      </c>
      <c r="X7" s="14">
        <f>Operational!X9</f>
        <v>13531</v>
      </c>
      <c r="Y7" s="14">
        <f>Operational!Y9</f>
        <v>16103</v>
      </c>
    </row>
    <row r="8" spans="1:25" x14ac:dyDescent="0.5">
      <c r="A8" s="14" t="s">
        <v>312</v>
      </c>
      <c r="B8" s="21">
        <f>Operational!B24</f>
        <v>21</v>
      </c>
      <c r="C8" s="21">
        <f>Operational!C24</f>
        <v>15</v>
      </c>
      <c r="D8" s="21">
        <f>Operational!D24</f>
        <v>31</v>
      </c>
      <c r="E8" s="21">
        <f>Operational!E24</f>
        <v>29</v>
      </c>
      <c r="F8" s="14">
        <f>Operational!F24</f>
        <v>33</v>
      </c>
      <c r="G8" s="14">
        <f>Operational!G24</f>
        <v>57</v>
      </c>
      <c r="H8" s="14">
        <f>Operational!H24</f>
        <v>42</v>
      </c>
      <c r="I8" s="14">
        <f>Operational!I24</f>
        <v>99</v>
      </c>
      <c r="J8" s="14">
        <f>Operational!J24</f>
        <v>133</v>
      </c>
      <c r="K8" s="14">
        <f>Operational!K24</f>
        <v>152</v>
      </c>
      <c r="L8" s="14">
        <f>Operational!L24</f>
        <v>183</v>
      </c>
      <c r="M8" s="14">
        <f>Operational!M24</f>
        <v>229</v>
      </c>
      <c r="N8" s="14">
        <f>Operational!N24</f>
        <v>286</v>
      </c>
      <c r="O8" s="14">
        <f>Operational!O24</f>
        <v>358</v>
      </c>
      <c r="P8" s="14">
        <f>Operational!P24</f>
        <v>1055</v>
      </c>
      <c r="Q8" s="14">
        <f>Operational!Q24</f>
        <v>1774</v>
      </c>
      <c r="R8" s="14">
        <f>Operational!R24</f>
        <v>2521</v>
      </c>
      <c r="S8" s="14">
        <f>Operational!S24</f>
        <v>3303</v>
      </c>
      <c r="T8" s="14">
        <f>Operational!T24</f>
        <v>4129</v>
      </c>
      <c r="U8" s="14">
        <f>Operational!U24</f>
        <v>5009</v>
      </c>
      <c r="V8" s="14">
        <f>Operational!V24</f>
        <v>5958</v>
      </c>
      <c r="W8" s="14">
        <f>Operational!W24</f>
        <v>6991</v>
      </c>
      <c r="X8" s="14">
        <f>Operational!X24</f>
        <v>8131</v>
      </c>
      <c r="Y8" s="14">
        <f>Operational!Y24</f>
        <v>9404</v>
      </c>
    </row>
    <row r="9" spans="1:25" x14ac:dyDescent="0.5">
      <c r="A9" s="14" t="s">
        <v>165</v>
      </c>
      <c r="B9" s="21">
        <f>Operational!B47</f>
        <v>25455.22</v>
      </c>
      <c r="C9" s="21">
        <f>Operational!C47</f>
        <v>15966.75</v>
      </c>
      <c r="D9" s="21">
        <f>Operational!D47</f>
        <v>54016</v>
      </c>
      <c r="E9" s="21">
        <f>Operational!E47</f>
        <v>52949.549999999988</v>
      </c>
      <c r="F9" s="14">
        <f>Operational!F47</f>
        <v>90609.397590361448</v>
      </c>
      <c r="G9" s="14">
        <f>Operational!G47</f>
        <v>149984.60176991153</v>
      </c>
      <c r="H9" s="14">
        <f>Operational!H47</f>
        <v>109301.42857142858</v>
      </c>
      <c r="I9" s="14">
        <f>Operational!I47</f>
        <v>179000</v>
      </c>
      <c r="J9" s="14">
        <f>Operational!J47</f>
        <v>241000</v>
      </c>
      <c r="K9" s="14">
        <f>Operational!K47</f>
        <v>272000</v>
      </c>
      <c r="L9" s="14">
        <f>Operational!L47</f>
        <v>403000</v>
      </c>
      <c r="M9" s="14">
        <f>Operational!M47</f>
        <v>505000</v>
      </c>
      <c r="N9" s="14">
        <f>Operational!N47</f>
        <v>630000</v>
      </c>
      <c r="O9" s="14">
        <f>Operational!O47</f>
        <v>786000</v>
      </c>
      <c r="P9" s="14">
        <f>Operational!P47</f>
        <v>2159000</v>
      </c>
      <c r="Q9" s="14">
        <f>Operational!Q47</f>
        <v>3446000</v>
      </c>
      <c r="R9" s="14">
        <f>Operational!R47</f>
        <v>4805000</v>
      </c>
      <c r="S9" s="14">
        <f>Operational!S47</f>
        <v>6255000</v>
      </c>
      <c r="T9" s="14">
        <f>Operational!T47</f>
        <v>7817000</v>
      </c>
      <c r="U9" s="14">
        <f>Operational!U47</f>
        <v>9525000</v>
      </c>
      <c r="V9" s="14">
        <f>Operational!V47</f>
        <v>11406000</v>
      </c>
      <c r="W9" s="14">
        <f>Operational!W47</f>
        <v>13511000</v>
      </c>
      <c r="X9" s="14">
        <f>Operational!X47</f>
        <v>15891000</v>
      </c>
      <c r="Y9" s="14">
        <f>Operational!Y47</f>
        <v>18620000</v>
      </c>
    </row>
    <row r="10" spans="1:25" x14ac:dyDescent="0.5">
      <c r="B10" s="25"/>
      <c r="C10" s="25"/>
      <c r="D10" s="25"/>
      <c r="E10" s="25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x14ac:dyDescent="0.5">
      <c r="B11" s="25"/>
      <c r="C11" s="25"/>
      <c r="D11" s="25"/>
      <c r="E11" s="25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x14ac:dyDescent="0.5">
      <c r="A12" s="31" t="s">
        <v>160</v>
      </c>
    </row>
    <row r="13" spans="1:25" x14ac:dyDescent="0.5">
      <c r="A13" s="31"/>
    </row>
    <row r="14" spans="1:25" ht="10.75" x14ac:dyDescent="0.55000000000000004">
      <c r="A14" s="39" t="s">
        <v>166</v>
      </c>
    </row>
    <row r="15" spans="1:25" x14ac:dyDescent="0.5">
      <c r="A15" s="14" t="s">
        <v>161</v>
      </c>
      <c r="B15" s="26"/>
      <c r="C15" s="26"/>
      <c r="D15" s="26"/>
      <c r="E15" s="26"/>
      <c r="F15" s="17">
        <v>150</v>
      </c>
      <c r="G15" s="14">
        <f>F15</f>
        <v>150</v>
      </c>
      <c r="H15" s="14">
        <f t="shared" ref="H15:Y15" si="4">G15</f>
        <v>150</v>
      </c>
      <c r="I15" s="14">
        <f t="shared" si="4"/>
        <v>150</v>
      </c>
      <c r="J15" s="14">
        <f t="shared" si="4"/>
        <v>150</v>
      </c>
      <c r="K15" s="14">
        <f t="shared" si="4"/>
        <v>150</v>
      </c>
      <c r="L15" s="14">
        <f t="shared" si="4"/>
        <v>150</v>
      </c>
      <c r="M15" s="14">
        <f t="shared" si="4"/>
        <v>150</v>
      </c>
      <c r="N15" s="14">
        <f t="shared" si="4"/>
        <v>150</v>
      </c>
      <c r="O15" s="14">
        <f t="shared" si="4"/>
        <v>150</v>
      </c>
      <c r="P15" s="14">
        <f t="shared" si="4"/>
        <v>150</v>
      </c>
      <c r="Q15" s="14">
        <f t="shared" si="4"/>
        <v>150</v>
      </c>
      <c r="R15" s="14">
        <f t="shared" si="4"/>
        <v>150</v>
      </c>
      <c r="S15" s="14">
        <f t="shared" si="4"/>
        <v>150</v>
      </c>
      <c r="T15" s="14">
        <f t="shared" si="4"/>
        <v>150</v>
      </c>
      <c r="U15" s="14">
        <f t="shared" si="4"/>
        <v>150</v>
      </c>
      <c r="V15" s="14">
        <f t="shared" si="4"/>
        <v>150</v>
      </c>
      <c r="W15" s="14">
        <f t="shared" si="4"/>
        <v>150</v>
      </c>
      <c r="X15" s="14">
        <f t="shared" si="4"/>
        <v>150</v>
      </c>
      <c r="Y15" s="14">
        <f t="shared" si="4"/>
        <v>150</v>
      </c>
    </row>
    <row r="16" spans="1:25" x14ac:dyDescent="0.5">
      <c r="A16" s="14" t="s">
        <v>162</v>
      </c>
      <c r="B16" s="24"/>
      <c r="C16" s="24"/>
      <c r="D16" s="24"/>
      <c r="E16" s="24">
        <v>1</v>
      </c>
      <c r="F16" s="14">
        <f>ROUNDUP(F$7/F15,0)</f>
        <v>2</v>
      </c>
      <c r="G16" s="14">
        <f t="shared" ref="G16:H16" si="5">ROUNDUP(G7/G15,0)</f>
        <v>2</v>
      </c>
      <c r="H16" s="14">
        <f t="shared" si="5"/>
        <v>2</v>
      </c>
      <c r="I16" s="14">
        <f t="shared" ref="I16" si="6">ROUNDUP(I7/I15,0)</f>
        <v>3</v>
      </c>
      <c r="J16" s="14">
        <f t="shared" ref="J16" si="7">ROUNDUP(J7/J15,0)</f>
        <v>3</v>
      </c>
      <c r="K16" s="14">
        <f t="shared" ref="K16" si="8">ROUNDUP(K7/K15,0)</f>
        <v>4</v>
      </c>
      <c r="L16" s="14">
        <f t="shared" ref="L16" si="9">ROUNDUP(L7/L15,0)</f>
        <v>4</v>
      </c>
      <c r="M16" s="14">
        <f t="shared" ref="M16" si="10">ROUNDUP(M7/M15,0)</f>
        <v>8</v>
      </c>
      <c r="N16" s="14">
        <f t="shared" ref="N16" si="11">ROUNDUP(N7/N15,0)</f>
        <v>12</v>
      </c>
      <c r="O16" s="14">
        <f t="shared" ref="O16" si="12">ROUNDUP(O7/O15,0)</f>
        <v>16</v>
      </c>
      <c r="P16" s="14">
        <f t="shared" ref="P16" si="13">ROUNDUP(P7/P15,0)</f>
        <v>21</v>
      </c>
      <c r="Q16" s="14">
        <f t="shared" ref="Q16" si="14">ROUNDUP(Q7/Q15,0)</f>
        <v>26</v>
      </c>
      <c r="R16" s="14">
        <f t="shared" ref="R16" si="15">ROUNDUP(R7/R15,0)</f>
        <v>32</v>
      </c>
      <c r="S16" s="14">
        <f t="shared" ref="S16" si="16">ROUNDUP(S7/S15,0)</f>
        <v>38</v>
      </c>
      <c r="T16" s="14">
        <f t="shared" ref="T16" si="17">ROUNDUP(T7/T15,0)</f>
        <v>46</v>
      </c>
      <c r="U16" s="14">
        <f t="shared" ref="U16" si="18">ROUNDUP(U7/U15,0)</f>
        <v>54</v>
      </c>
      <c r="V16" s="14">
        <f t="shared" ref="V16" si="19">ROUNDUP(V7/V15,0)</f>
        <v>64</v>
      </c>
      <c r="W16" s="14">
        <f t="shared" ref="W16" si="20">ROUNDUP(W7/W15,0)</f>
        <v>76</v>
      </c>
      <c r="X16" s="14">
        <f t="shared" ref="X16" si="21">ROUNDUP(X7/X15,0)</f>
        <v>91</v>
      </c>
      <c r="Y16" s="14">
        <f t="shared" ref="Y16" si="22">ROUNDUP(Y7/Y15,0)</f>
        <v>108</v>
      </c>
    </row>
    <row r="17" spans="1:25" x14ac:dyDescent="0.5">
      <c r="A17" s="14" t="s">
        <v>168</v>
      </c>
      <c r="F17" s="16">
        <f>G30</f>
        <v>35000</v>
      </c>
      <c r="G17" s="14">
        <f>F17</f>
        <v>35000</v>
      </c>
      <c r="H17" s="14">
        <f t="shared" ref="H17:Y17" si="23">G17</f>
        <v>35000</v>
      </c>
      <c r="I17" s="14">
        <f t="shared" si="23"/>
        <v>35000</v>
      </c>
      <c r="J17" s="14">
        <f t="shared" si="23"/>
        <v>35000</v>
      </c>
      <c r="K17" s="14">
        <f t="shared" si="23"/>
        <v>35000</v>
      </c>
      <c r="L17" s="14">
        <f t="shared" si="23"/>
        <v>35000</v>
      </c>
      <c r="M17" s="14">
        <f t="shared" si="23"/>
        <v>35000</v>
      </c>
      <c r="N17" s="14">
        <f t="shared" si="23"/>
        <v>35000</v>
      </c>
      <c r="O17" s="14">
        <f t="shared" si="23"/>
        <v>35000</v>
      </c>
      <c r="P17" s="14">
        <f t="shared" si="23"/>
        <v>35000</v>
      </c>
      <c r="Q17" s="14">
        <f t="shared" si="23"/>
        <v>35000</v>
      </c>
      <c r="R17" s="14">
        <f t="shared" si="23"/>
        <v>35000</v>
      </c>
      <c r="S17" s="14">
        <f t="shared" si="23"/>
        <v>35000</v>
      </c>
      <c r="T17" s="14">
        <f t="shared" si="23"/>
        <v>35000</v>
      </c>
      <c r="U17" s="14">
        <f t="shared" si="23"/>
        <v>35000</v>
      </c>
      <c r="V17" s="14">
        <f t="shared" si="23"/>
        <v>35000</v>
      </c>
      <c r="W17" s="14">
        <f t="shared" si="23"/>
        <v>35000</v>
      </c>
      <c r="X17" s="14">
        <f t="shared" si="23"/>
        <v>35000</v>
      </c>
      <c r="Y17" s="14">
        <f t="shared" si="23"/>
        <v>35000</v>
      </c>
    </row>
    <row r="18" spans="1:25" x14ac:dyDescent="0.5">
      <c r="A18" s="14" t="s">
        <v>169</v>
      </c>
      <c r="F18" s="18">
        <v>0.02</v>
      </c>
      <c r="G18" s="19">
        <f>F18</f>
        <v>0.02</v>
      </c>
      <c r="H18" s="19">
        <f t="shared" ref="H18:Y18" si="24">G18</f>
        <v>0.02</v>
      </c>
      <c r="I18" s="19">
        <f t="shared" si="24"/>
        <v>0.02</v>
      </c>
      <c r="J18" s="19">
        <f t="shared" si="24"/>
        <v>0.02</v>
      </c>
      <c r="K18" s="19">
        <f t="shared" si="24"/>
        <v>0.02</v>
      </c>
      <c r="L18" s="19">
        <f t="shared" si="24"/>
        <v>0.02</v>
      </c>
      <c r="M18" s="19">
        <f t="shared" si="24"/>
        <v>0.02</v>
      </c>
      <c r="N18" s="19">
        <f t="shared" si="24"/>
        <v>0.02</v>
      </c>
      <c r="O18" s="19">
        <f t="shared" si="24"/>
        <v>0.02</v>
      </c>
      <c r="P18" s="19">
        <f t="shared" si="24"/>
        <v>0.02</v>
      </c>
      <c r="Q18" s="19">
        <f t="shared" si="24"/>
        <v>0.02</v>
      </c>
      <c r="R18" s="19">
        <f t="shared" si="24"/>
        <v>0.02</v>
      </c>
      <c r="S18" s="19">
        <f t="shared" si="24"/>
        <v>0.02</v>
      </c>
      <c r="T18" s="19">
        <f t="shared" si="24"/>
        <v>0.02</v>
      </c>
      <c r="U18" s="19">
        <f t="shared" si="24"/>
        <v>0.02</v>
      </c>
      <c r="V18" s="19">
        <f t="shared" si="24"/>
        <v>0.02</v>
      </c>
      <c r="W18" s="19">
        <f t="shared" si="24"/>
        <v>0.02</v>
      </c>
      <c r="X18" s="19">
        <f t="shared" si="24"/>
        <v>0.02</v>
      </c>
      <c r="Y18" s="19">
        <f t="shared" si="24"/>
        <v>0.02</v>
      </c>
    </row>
    <row r="19" spans="1:25" x14ac:dyDescent="0.5">
      <c r="A19" s="14" t="s">
        <v>163</v>
      </c>
      <c r="F19" s="14">
        <f>F16-E16</f>
        <v>1</v>
      </c>
      <c r="G19" s="14">
        <f>G16-F16</f>
        <v>0</v>
      </c>
      <c r="H19" s="14">
        <f t="shared" ref="H19:Y19" si="25">H16-G16</f>
        <v>0</v>
      </c>
      <c r="I19" s="14">
        <f t="shared" si="25"/>
        <v>1</v>
      </c>
      <c r="J19" s="14">
        <f t="shared" si="25"/>
        <v>0</v>
      </c>
      <c r="K19" s="14">
        <f t="shared" si="25"/>
        <v>1</v>
      </c>
      <c r="L19" s="14">
        <f t="shared" si="25"/>
        <v>0</v>
      </c>
      <c r="M19" s="14">
        <v>2</v>
      </c>
      <c r="N19" s="14">
        <f t="shared" si="25"/>
        <v>4</v>
      </c>
      <c r="O19" s="14">
        <f t="shared" si="25"/>
        <v>4</v>
      </c>
      <c r="P19" s="14">
        <f t="shared" si="25"/>
        <v>5</v>
      </c>
      <c r="Q19" s="14">
        <f t="shared" si="25"/>
        <v>5</v>
      </c>
      <c r="R19" s="14">
        <f t="shared" si="25"/>
        <v>6</v>
      </c>
      <c r="S19" s="14">
        <f t="shared" si="25"/>
        <v>6</v>
      </c>
      <c r="T19" s="14">
        <f t="shared" si="25"/>
        <v>8</v>
      </c>
      <c r="U19" s="14">
        <f t="shared" si="25"/>
        <v>8</v>
      </c>
      <c r="V19" s="14">
        <f t="shared" si="25"/>
        <v>10</v>
      </c>
      <c r="W19" s="14">
        <f t="shared" si="25"/>
        <v>12</v>
      </c>
      <c r="X19" s="14">
        <f t="shared" si="25"/>
        <v>15</v>
      </c>
      <c r="Y19" s="14">
        <f t="shared" si="25"/>
        <v>17</v>
      </c>
    </row>
    <row r="22" spans="1:25" ht="10.75" x14ac:dyDescent="0.55000000000000004">
      <c r="A22" s="39" t="s">
        <v>170</v>
      </c>
    </row>
    <row r="23" spans="1:25" ht="10.75" x14ac:dyDescent="0.55000000000000004">
      <c r="A23" s="39" t="s">
        <v>167</v>
      </c>
    </row>
    <row r="24" spans="1:25" x14ac:dyDescent="0.5">
      <c r="A24" s="14" t="s">
        <v>30</v>
      </c>
      <c r="F24" s="14">
        <f>F17/4*F16</f>
        <v>17500</v>
      </c>
      <c r="G24" s="14">
        <f t="shared" ref="G24:Y24" si="26">G17/4*G16</f>
        <v>17500</v>
      </c>
      <c r="H24" s="14">
        <f t="shared" si="26"/>
        <v>17500</v>
      </c>
      <c r="I24" s="14">
        <f t="shared" si="26"/>
        <v>26250</v>
      </c>
      <c r="J24" s="14">
        <f t="shared" si="26"/>
        <v>26250</v>
      </c>
      <c r="K24" s="14">
        <f t="shared" si="26"/>
        <v>35000</v>
      </c>
      <c r="L24" s="14">
        <f t="shared" si="26"/>
        <v>35000</v>
      </c>
      <c r="M24" s="14">
        <f t="shared" si="26"/>
        <v>70000</v>
      </c>
      <c r="N24" s="14">
        <f t="shared" si="26"/>
        <v>105000</v>
      </c>
      <c r="O24" s="14">
        <f t="shared" si="26"/>
        <v>140000</v>
      </c>
      <c r="P24" s="14">
        <f t="shared" si="26"/>
        <v>183750</v>
      </c>
      <c r="Q24" s="14">
        <f t="shared" si="26"/>
        <v>227500</v>
      </c>
      <c r="R24" s="14">
        <f t="shared" si="26"/>
        <v>280000</v>
      </c>
      <c r="S24" s="14">
        <f t="shared" si="26"/>
        <v>332500</v>
      </c>
      <c r="T24" s="14">
        <f t="shared" si="26"/>
        <v>402500</v>
      </c>
      <c r="U24" s="14">
        <f t="shared" si="26"/>
        <v>472500</v>
      </c>
      <c r="V24" s="14">
        <f t="shared" si="26"/>
        <v>560000</v>
      </c>
      <c r="W24" s="14">
        <f t="shared" si="26"/>
        <v>665000</v>
      </c>
      <c r="X24" s="14">
        <f t="shared" si="26"/>
        <v>796250</v>
      </c>
      <c r="Y24" s="14">
        <f t="shared" si="26"/>
        <v>945000</v>
      </c>
    </row>
    <row r="25" spans="1:25" x14ac:dyDescent="0.5">
      <c r="A25" s="14" t="s">
        <v>169</v>
      </c>
      <c r="F25" s="14">
        <f>F9*F18</f>
        <v>1812.187951807229</v>
      </c>
      <c r="G25" s="14">
        <f t="shared" ref="G25:Y25" si="27">G9*G18</f>
        <v>2999.6920353982309</v>
      </c>
      <c r="H25" s="14">
        <f t="shared" si="27"/>
        <v>2186.0285714285715</v>
      </c>
      <c r="I25" s="14">
        <f t="shared" si="27"/>
        <v>3580</v>
      </c>
      <c r="J25" s="14">
        <f t="shared" si="27"/>
        <v>4820</v>
      </c>
      <c r="K25" s="14">
        <f t="shared" si="27"/>
        <v>5440</v>
      </c>
      <c r="L25" s="14">
        <f t="shared" si="27"/>
        <v>8060</v>
      </c>
      <c r="M25" s="14">
        <f t="shared" si="27"/>
        <v>10100</v>
      </c>
      <c r="N25" s="14">
        <f t="shared" si="27"/>
        <v>12600</v>
      </c>
      <c r="O25" s="14">
        <f t="shared" si="27"/>
        <v>15720</v>
      </c>
      <c r="P25" s="14">
        <f t="shared" si="27"/>
        <v>43180</v>
      </c>
      <c r="Q25" s="14">
        <f t="shared" si="27"/>
        <v>68920</v>
      </c>
      <c r="R25" s="14">
        <f t="shared" si="27"/>
        <v>96100</v>
      </c>
      <c r="S25" s="14">
        <f t="shared" si="27"/>
        <v>125100</v>
      </c>
      <c r="T25" s="14">
        <f t="shared" si="27"/>
        <v>156340</v>
      </c>
      <c r="U25" s="14">
        <f t="shared" si="27"/>
        <v>190500</v>
      </c>
      <c r="V25" s="14">
        <f t="shared" si="27"/>
        <v>228120</v>
      </c>
      <c r="W25" s="14">
        <f t="shared" si="27"/>
        <v>270220</v>
      </c>
      <c r="X25" s="14">
        <f t="shared" si="27"/>
        <v>317820</v>
      </c>
      <c r="Y25" s="14">
        <f t="shared" si="27"/>
        <v>372400</v>
      </c>
    </row>
    <row r="26" spans="1:25" x14ac:dyDescent="0.5">
      <c r="A26" s="14" t="s">
        <v>164</v>
      </c>
      <c r="F26" s="14">
        <f>18%*F17*F19</f>
        <v>6300</v>
      </c>
      <c r="G26" s="14">
        <f>18%*G17*G19</f>
        <v>0</v>
      </c>
      <c r="H26" s="14">
        <f t="shared" ref="H26:Y26" si="28">18%*H17*H19</f>
        <v>0</v>
      </c>
      <c r="I26" s="14">
        <f t="shared" si="28"/>
        <v>6300</v>
      </c>
      <c r="J26" s="14">
        <f t="shared" si="28"/>
        <v>0</v>
      </c>
      <c r="K26" s="14">
        <f t="shared" si="28"/>
        <v>6300</v>
      </c>
      <c r="L26" s="14">
        <f t="shared" si="28"/>
        <v>0</v>
      </c>
      <c r="M26" s="14">
        <f t="shared" si="28"/>
        <v>12600</v>
      </c>
      <c r="N26" s="14">
        <f t="shared" si="28"/>
        <v>25200</v>
      </c>
      <c r="O26" s="14">
        <f t="shared" si="28"/>
        <v>25200</v>
      </c>
      <c r="P26" s="14">
        <f t="shared" si="28"/>
        <v>31500</v>
      </c>
      <c r="Q26" s="14">
        <f t="shared" si="28"/>
        <v>31500</v>
      </c>
      <c r="R26" s="14">
        <f t="shared" si="28"/>
        <v>37800</v>
      </c>
      <c r="S26" s="14">
        <f t="shared" si="28"/>
        <v>37800</v>
      </c>
      <c r="T26" s="14">
        <f t="shared" si="28"/>
        <v>50400</v>
      </c>
      <c r="U26" s="14">
        <f t="shared" si="28"/>
        <v>50400</v>
      </c>
      <c r="V26" s="14">
        <f t="shared" si="28"/>
        <v>63000</v>
      </c>
      <c r="W26" s="14">
        <f t="shared" si="28"/>
        <v>75600</v>
      </c>
      <c r="X26" s="14">
        <f t="shared" si="28"/>
        <v>94500</v>
      </c>
      <c r="Y26" s="14">
        <f t="shared" si="28"/>
        <v>107100</v>
      </c>
    </row>
    <row r="28" spans="1:25" x14ac:dyDescent="0.5">
      <c r="F28" s="14" t="s">
        <v>252</v>
      </c>
      <c r="G28" s="17">
        <v>35000</v>
      </c>
      <c r="H28" s="14">
        <f>IF(H29=1,0,1)</f>
        <v>1</v>
      </c>
    </row>
    <row r="29" spans="1:25" x14ac:dyDescent="0.5">
      <c r="A29" s="31" t="s">
        <v>313</v>
      </c>
      <c r="F29" s="14" t="s">
        <v>253</v>
      </c>
      <c r="G29" s="17">
        <v>30000</v>
      </c>
      <c r="H29" s="14">
        <f>AND(Highlights!B5=0,Highlights!B9=0)*1</f>
        <v>0</v>
      </c>
    </row>
    <row r="30" spans="1:25" x14ac:dyDescent="0.5">
      <c r="F30" s="14" t="s">
        <v>254</v>
      </c>
      <c r="G30" s="14">
        <f>SUM(G28*H28+G29*H29)</f>
        <v>35000</v>
      </c>
    </row>
    <row r="31" spans="1:25" ht="10.75" x14ac:dyDescent="0.55000000000000004">
      <c r="A31" s="39" t="s">
        <v>314</v>
      </c>
    </row>
    <row r="32" spans="1:25" x14ac:dyDescent="0.5">
      <c r="A32" s="14" t="s">
        <v>315</v>
      </c>
      <c r="F32" s="17">
        <v>75</v>
      </c>
      <c r="G32" s="14">
        <f>F32</f>
        <v>75</v>
      </c>
      <c r="H32" s="14">
        <f t="shared" ref="H32:Y32" si="29">G32</f>
        <v>75</v>
      </c>
      <c r="I32" s="14">
        <f t="shared" si="29"/>
        <v>75</v>
      </c>
      <c r="J32" s="14">
        <f t="shared" si="29"/>
        <v>75</v>
      </c>
      <c r="K32" s="14">
        <f t="shared" si="29"/>
        <v>75</v>
      </c>
      <c r="L32" s="14">
        <f t="shared" si="29"/>
        <v>75</v>
      </c>
      <c r="M32" s="14">
        <f t="shared" si="29"/>
        <v>75</v>
      </c>
      <c r="N32" s="14">
        <f t="shared" si="29"/>
        <v>75</v>
      </c>
      <c r="O32" s="14">
        <f t="shared" si="29"/>
        <v>75</v>
      </c>
      <c r="P32" s="14">
        <f t="shared" si="29"/>
        <v>75</v>
      </c>
      <c r="Q32" s="14">
        <f t="shared" si="29"/>
        <v>75</v>
      </c>
      <c r="R32" s="14">
        <f t="shared" si="29"/>
        <v>75</v>
      </c>
      <c r="S32" s="14">
        <f t="shared" si="29"/>
        <v>75</v>
      </c>
      <c r="T32" s="14">
        <f t="shared" si="29"/>
        <v>75</v>
      </c>
      <c r="U32" s="14">
        <f t="shared" si="29"/>
        <v>75</v>
      </c>
      <c r="V32" s="14">
        <f t="shared" si="29"/>
        <v>75</v>
      </c>
      <c r="W32" s="14">
        <f t="shared" si="29"/>
        <v>75</v>
      </c>
      <c r="X32" s="14">
        <f t="shared" si="29"/>
        <v>75</v>
      </c>
      <c r="Y32" s="14">
        <f t="shared" si="29"/>
        <v>75</v>
      </c>
    </row>
    <row r="33" spans="1:25" x14ac:dyDescent="0.5">
      <c r="A33" s="14" t="s">
        <v>317</v>
      </c>
      <c r="E33" s="24">
        <v>2</v>
      </c>
      <c r="F33" s="14">
        <f>MAX(ROUNDUP(F$7/F32,0),3)</f>
        <v>3</v>
      </c>
      <c r="G33" s="14">
        <f t="shared" ref="G33:Y33" si="30">MAX(ROUNDUP(G$7/G32,0),3)</f>
        <v>3</v>
      </c>
      <c r="H33" s="14">
        <f t="shared" si="30"/>
        <v>4</v>
      </c>
      <c r="I33" s="14">
        <f t="shared" si="30"/>
        <v>5</v>
      </c>
      <c r="J33" s="14">
        <f t="shared" si="30"/>
        <v>6</v>
      </c>
      <c r="K33" s="14">
        <f t="shared" si="30"/>
        <v>7</v>
      </c>
      <c r="L33" s="14">
        <f t="shared" si="30"/>
        <v>8</v>
      </c>
      <c r="M33" s="14">
        <f t="shared" si="30"/>
        <v>16</v>
      </c>
      <c r="N33" s="14">
        <f t="shared" si="30"/>
        <v>24</v>
      </c>
      <c r="O33" s="14">
        <f t="shared" si="30"/>
        <v>32</v>
      </c>
      <c r="P33" s="14">
        <f t="shared" si="30"/>
        <v>41</v>
      </c>
      <c r="Q33" s="14">
        <f t="shared" si="30"/>
        <v>52</v>
      </c>
      <c r="R33" s="14">
        <f t="shared" si="30"/>
        <v>63</v>
      </c>
      <c r="S33" s="14">
        <f t="shared" si="30"/>
        <v>76</v>
      </c>
      <c r="T33" s="14">
        <f t="shared" si="30"/>
        <v>91</v>
      </c>
      <c r="U33" s="14">
        <f t="shared" si="30"/>
        <v>108</v>
      </c>
      <c r="V33" s="14">
        <f t="shared" si="30"/>
        <v>128</v>
      </c>
      <c r="W33" s="14">
        <f t="shared" si="30"/>
        <v>152</v>
      </c>
      <c r="X33" s="14">
        <f t="shared" si="30"/>
        <v>181</v>
      </c>
      <c r="Y33" s="14">
        <f t="shared" si="30"/>
        <v>215</v>
      </c>
    </row>
    <row r="34" spans="1:25" x14ac:dyDescent="0.5">
      <c r="A34" s="14" t="s">
        <v>168</v>
      </c>
      <c r="F34" s="16">
        <f>G30</f>
        <v>35000</v>
      </c>
      <c r="G34" s="14">
        <f>F34</f>
        <v>35000</v>
      </c>
      <c r="H34" s="14">
        <f t="shared" ref="H34:Y34" si="31">G34</f>
        <v>35000</v>
      </c>
      <c r="I34" s="14">
        <f t="shared" si="31"/>
        <v>35000</v>
      </c>
      <c r="J34" s="14">
        <f t="shared" si="31"/>
        <v>35000</v>
      </c>
      <c r="K34" s="14">
        <f t="shared" si="31"/>
        <v>35000</v>
      </c>
      <c r="L34" s="14">
        <f t="shared" si="31"/>
        <v>35000</v>
      </c>
      <c r="M34" s="14">
        <f t="shared" si="31"/>
        <v>35000</v>
      </c>
      <c r="N34" s="14">
        <f t="shared" si="31"/>
        <v>35000</v>
      </c>
      <c r="O34" s="14">
        <f t="shared" si="31"/>
        <v>35000</v>
      </c>
      <c r="P34" s="14">
        <f t="shared" si="31"/>
        <v>35000</v>
      </c>
      <c r="Q34" s="14">
        <f t="shared" si="31"/>
        <v>35000</v>
      </c>
      <c r="R34" s="14">
        <f t="shared" si="31"/>
        <v>35000</v>
      </c>
      <c r="S34" s="14">
        <f t="shared" si="31"/>
        <v>35000</v>
      </c>
      <c r="T34" s="14">
        <f t="shared" si="31"/>
        <v>35000</v>
      </c>
      <c r="U34" s="14">
        <f t="shared" si="31"/>
        <v>35000</v>
      </c>
      <c r="V34" s="14">
        <f t="shared" si="31"/>
        <v>35000</v>
      </c>
      <c r="W34" s="14">
        <f t="shared" si="31"/>
        <v>35000</v>
      </c>
      <c r="X34" s="14">
        <f t="shared" si="31"/>
        <v>35000</v>
      </c>
      <c r="Y34" s="14">
        <f t="shared" si="31"/>
        <v>35000</v>
      </c>
    </row>
    <row r="35" spans="1:25" x14ac:dyDescent="0.5">
      <c r="A35" s="14" t="s">
        <v>163</v>
      </c>
      <c r="F35" s="14">
        <f>F33-E33</f>
        <v>1</v>
      </c>
      <c r="G35" s="14">
        <f t="shared" ref="G35:Y35" si="32">G33-F33</f>
        <v>0</v>
      </c>
      <c r="H35" s="14">
        <f t="shared" si="32"/>
        <v>1</v>
      </c>
      <c r="I35" s="14">
        <f t="shared" si="32"/>
        <v>1</v>
      </c>
      <c r="J35" s="14">
        <f t="shared" si="32"/>
        <v>1</v>
      </c>
      <c r="K35" s="14">
        <f t="shared" si="32"/>
        <v>1</v>
      </c>
      <c r="L35" s="14">
        <f t="shared" si="32"/>
        <v>1</v>
      </c>
      <c r="M35" s="14">
        <f t="shared" si="32"/>
        <v>8</v>
      </c>
      <c r="N35" s="14">
        <f t="shared" si="32"/>
        <v>8</v>
      </c>
      <c r="O35" s="14">
        <f t="shared" si="32"/>
        <v>8</v>
      </c>
      <c r="P35" s="14">
        <f t="shared" si="32"/>
        <v>9</v>
      </c>
      <c r="Q35" s="14">
        <f t="shared" si="32"/>
        <v>11</v>
      </c>
      <c r="R35" s="14">
        <f t="shared" si="32"/>
        <v>11</v>
      </c>
      <c r="S35" s="14">
        <f t="shared" si="32"/>
        <v>13</v>
      </c>
      <c r="T35" s="14">
        <f t="shared" si="32"/>
        <v>15</v>
      </c>
      <c r="U35" s="14">
        <f t="shared" si="32"/>
        <v>17</v>
      </c>
      <c r="V35" s="14">
        <f t="shared" si="32"/>
        <v>20</v>
      </c>
      <c r="W35" s="14">
        <f t="shared" si="32"/>
        <v>24</v>
      </c>
      <c r="X35" s="14">
        <f t="shared" si="32"/>
        <v>29</v>
      </c>
      <c r="Y35" s="14">
        <f t="shared" si="32"/>
        <v>34</v>
      </c>
    </row>
    <row r="37" spans="1:25" x14ac:dyDescent="0.5">
      <c r="A37" s="14" t="s">
        <v>316</v>
      </c>
      <c r="F37" s="17">
        <v>75</v>
      </c>
      <c r="G37" s="14">
        <f>F37</f>
        <v>75</v>
      </c>
      <c r="H37" s="14">
        <f t="shared" ref="H37:Y37" si="33">G37</f>
        <v>75</v>
      </c>
      <c r="I37" s="14">
        <f t="shared" si="33"/>
        <v>75</v>
      </c>
      <c r="J37" s="14">
        <f t="shared" si="33"/>
        <v>75</v>
      </c>
      <c r="K37" s="14">
        <f t="shared" si="33"/>
        <v>75</v>
      </c>
      <c r="L37" s="14">
        <f t="shared" si="33"/>
        <v>75</v>
      </c>
      <c r="M37" s="14">
        <f t="shared" si="33"/>
        <v>75</v>
      </c>
      <c r="N37" s="14">
        <f t="shared" si="33"/>
        <v>75</v>
      </c>
      <c r="O37" s="14">
        <f t="shared" si="33"/>
        <v>75</v>
      </c>
      <c r="P37" s="14">
        <f t="shared" si="33"/>
        <v>75</v>
      </c>
      <c r="Q37" s="14">
        <f t="shared" si="33"/>
        <v>75</v>
      </c>
      <c r="R37" s="14">
        <f t="shared" si="33"/>
        <v>75</v>
      </c>
      <c r="S37" s="14">
        <f t="shared" si="33"/>
        <v>75</v>
      </c>
      <c r="T37" s="14">
        <f t="shared" si="33"/>
        <v>75</v>
      </c>
      <c r="U37" s="14">
        <f t="shared" si="33"/>
        <v>75</v>
      </c>
      <c r="V37" s="14">
        <f t="shared" si="33"/>
        <v>75</v>
      </c>
      <c r="W37" s="14">
        <f t="shared" si="33"/>
        <v>75</v>
      </c>
      <c r="X37" s="14">
        <f t="shared" si="33"/>
        <v>75</v>
      </c>
      <c r="Y37" s="14">
        <f t="shared" si="33"/>
        <v>75</v>
      </c>
    </row>
    <row r="38" spans="1:25" x14ac:dyDescent="0.5">
      <c r="A38" s="14" t="s">
        <v>318</v>
      </c>
      <c r="F38" s="14">
        <f>ROUNDUP(F$8/F37,0)</f>
        <v>1</v>
      </c>
      <c r="G38" s="14">
        <f t="shared" ref="G38" si="34">ROUNDUP(G$8/G37,0)</f>
        <v>1</v>
      </c>
      <c r="H38" s="14">
        <f t="shared" ref="H38" si="35">ROUNDUP(H$8/H37,0)</f>
        <v>1</v>
      </c>
      <c r="I38" s="14">
        <f t="shared" ref="I38" si="36">ROUNDUP(I$8/I37,0)</f>
        <v>2</v>
      </c>
      <c r="J38" s="14">
        <f t="shared" ref="J38" si="37">ROUNDUP(J$8/J37,0)</f>
        <v>2</v>
      </c>
      <c r="K38" s="14">
        <f t="shared" ref="K38" si="38">ROUNDUP(K$8/K37,0)</f>
        <v>3</v>
      </c>
      <c r="L38" s="14">
        <f t="shared" ref="L38" si="39">ROUNDUP(L$8/L37,0)</f>
        <v>3</v>
      </c>
      <c r="M38" s="14">
        <f t="shared" ref="M38" si="40">ROUNDUP(M$8/M37,0)</f>
        <v>4</v>
      </c>
      <c r="N38" s="14">
        <f t="shared" ref="N38" si="41">ROUNDUP(N$8/N37,0)</f>
        <v>4</v>
      </c>
      <c r="O38" s="14">
        <f t="shared" ref="O38" si="42">ROUNDUP(O$8/O37,0)</f>
        <v>5</v>
      </c>
      <c r="P38" s="14">
        <f t="shared" ref="P38" si="43">ROUNDUP(P$8/P37,0)</f>
        <v>15</v>
      </c>
      <c r="Q38" s="14">
        <f t="shared" ref="Q38" si="44">ROUNDUP(Q$8/Q37,0)</f>
        <v>24</v>
      </c>
      <c r="R38" s="14">
        <f t="shared" ref="R38" si="45">ROUNDUP(R$8/R37,0)</f>
        <v>34</v>
      </c>
      <c r="S38" s="14">
        <f t="shared" ref="S38" si="46">ROUNDUP(S$8/S37,0)</f>
        <v>45</v>
      </c>
      <c r="T38" s="14">
        <f t="shared" ref="T38" si="47">ROUNDUP(T$8/T37,0)</f>
        <v>56</v>
      </c>
      <c r="U38" s="14">
        <f t="shared" ref="U38" si="48">ROUNDUP(U$8/U37,0)</f>
        <v>67</v>
      </c>
      <c r="V38" s="14">
        <f t="shared" ref="V38" si="49">ROUNDUP(V$8/V37,0)</f>
        <v>80</v>
      </c>
      <c r="W38" s="14">
        <f t="shared" ref="W38" si="50">ROUNDUP(W$8/W37,0)</f>
        <v>94</v>
      </c>
      <c r="X38" s="14">
        <f t="shared" ref="X38" si="51">ROUNDUP(X$8/X37,0)</f>
        <v>109</v>
      </c>
      <c r="Y38" s="14">
        <f t="shared" ref="Y38" si="52">ROUNDUP(Y$8/Y37,0)</f>
        <v>126</v>
      </c>
    </row>
    <row r="39" spans="1:25" x14ac:dyDescent="0.5">
      <c r="A39" s="14" t="s">
        <v>168</v>
      </c>
      <c r="F39" s="16">
        <f>G30</f>
        <v>35000</v>
      </c>
      <c r="G39" s="14">
        <f>F39</f>
        <v>35000</v>
      </c>
      <c r="H39" s="14">
        <f t="shared" ref="H39:Y39" si="53">G39</f>
        <v>35000</v>
      </c>
      <c r="I39" s="14">
        <f t="shared" si="53"/>
        <v>35000</v>
      </c>
      <c r="J39" s="14">
        <f t="shared" si="53"/>
        <v>35000</v>
      </c>
      <c r="K39" s="14">
        <f t="shared" si="53"/>
        <v>35000</v>
      </c>
      <c r="L39" s="14">
        <f t="shared" si="53"/>
        <v>35000</v>
      </c>
      <c r="M39" s="14">
        <f t="shared" si="53"/>
        <v>35000</v>
      </c>
      <c r="N39" s="14">
        <f t="shared" si="53"/>
        <v>35000</v>
      </c>
      <c r="O39" s="14">
        <f t="shared" si="53"/>
        <v>35000</v>
      </c>
      <c r="P39" s="14">
        <f t="shared" si="53"/>
        <v>35000</v>
      </c>
      <c r="Q39" s="14">
        <f t="shared" si="53"/>
        <v>35000</v>
      </c>
      <c r="R39" s="14">
        <f t="shared" si="53"/>
        <v>35000</v>
      </c>
      <c r="S39" s="14">
        <f t="shared" si="53"/>
        <v>35000</v>
      </c>
      <c r="T39" s="14">
        <f t="shared" si="53"/>
        <v>35000</v>
      </c>
      <c r="U39" s="14">
        <f t="shared" si="53"/>
        <v>35000</v>
      </c>
      <c r="V39" s="14">
        <f t="shared" si="53"/>
        <v>35000</v>
      </c>
      <c r="W39" s="14">
        <f t="shared" si="53"/>
        <v>35000</v>
      </c>
      <c r="X39" s="14">
        <f t="shared" si="53"/>
        <v>35000</v>
      </c>
      <c r="Y39" s="14">
        <f t="shared" si="53"/>
        <v>35000</v>
      </c>
    </row>
    <row r="40" spans="1:25" x14ac:dyDescent="0.5">
      <c r="A40" s="14" t="s">
        <v>163</v>
      </c>
      <c r="F40" s="14">
        <f>F38-E38</f>
        <v>1</v>
      </c>
      <c r="G40" s="14">
        <f t="shared" ref="G40:Y40" si="54">G38-F38</f>
        <v>0</v>
      </c>
      <c r="H40" s="14">
        <f t="shared" si="54"/>
        <v>0</v>
      </c>
      <c r="I40" s="14">
        <f t="shared" si="54"/>
        <v>1</v>
      </c>
      <c r="J40" s="14">
        <f t="shared" si="54"/>
        <v>0</v>
      </c>
      <c r="K40" s="14">
        <f t="shared" si="54"/>
        <v>1</v>
      </c>
      <c r="L40" s="14">
        <f t="shared" si="54"/>
        <v>0</v>
      </c>
      <c r="M40" s="14">
        <f t="shared" si="54"/>
        <v>1</v>
      </c>
      <c r="N40" s="14">
        <f t="shared" si="54"/>
        <v>0</v>
      </c>
      <c r="O40" s="14">
        <f t="shared" si="54"/>
        <v>1</v>
      </c>
      <c r="P40" s="14">
        <f t="shared" si="54"/>
        <v>10</v>
      </c>
      <c r="Q40" s="14">
        <f t="shared" si="54"/>
        <v>9</v>
      </c>
      <c r="R40" s="14">
        <f t="shared" si="54"/>
        <v>10</v>
      </c>
      <c r="S40" s="14">
        <f t="shared" si="54"/>
        <v>11</v>
      </c>
      <c r="T40" s="14">
        <f t="shared" si="54"/>
        <v>11</v>
      </c>
      <c r="U40" s="14">
        <f t="shared" si="54"/>
        <v>11</v>
      </c>
      <c r="V40" s="14">
        <f t="shared" si="54"/>
        <v>13</v>
      </c>
      <c r="W40" s="14">
        <f t="shared" si="54"/>
        <v>14</v>
      </c>
      <c r="X40" s="14">
        <f t="shared" si="54"/>
        <v>15</v>
      </c>
      <c r="Y40" s="14">
        <f t="shared" si="54"/>
        <v>17</v>
      </c>
    </row>
    <row r="41" spans="1:25" x14ac:dyDescent="0.5">
      <c r="A41" s="14" t="s">
        <v>169</v>
      </c>
      <c r="F41" s="18">
        <v>0.1</v>
      </c>
      <c r="G41" s="19">
        <f>F41</f>
        <v>0.1</v>
      </c>
      <c r="H41" s="19">
        <f t="shared" ref="H41:Y41" si="55">G41</f>
        <v>0.1</v>
      </c>
      <c r="I41" s="19">
        <f t="shared" si="55"/>
        <v>0.1</v>
      </c>
      <c r="J41" s="19">
        <f t="shared" si="55"/>
        <v>0.1</v>
      </c>
      <c r="K41" s="19">
        <f t="shared" si="55"/>
        <v>0.1</v>
      </c>
      <c r="L41" s="19">
        <f t="shared" si="55"/>
        <v>0.1</v>
      </c>
      <c r="M41" s="19">
        <f t="shared" si="55"/>
        <v>0.1</v>
      </c>
      <c r="N41" s="19">
        <f t="shared" si="55"/>
        <v>0.1</v>
      </c>
      <c r="O41" s="19">
        <f t="shared" si="55"/>
        <v>0.1</v>
      </c>
      <c r="P41" s="19">
        <f t="shared" si="55"/>
        <v>0.1</v>
      </c>
      <c r="Q41" s="19">
        <f t="shared" si="55"/>
        <v>0.1</v>
      </c>
      <c r="R41" s="19">
        <f t="shared" si="55"/>
        <v>0.1</v>
      </c>
      <c r="S41" s="19">
        <f t="shared" si="55"/>
        <v>0.1</v>
      </c>
      <c r="T41" s="19">
        <f t="shared" si="55"/>
        <v>0.1</v>
      </c>
      <c r="U41" s="19">
        <f t="shared" si="55"/>
        <v>0.1</v>
      </c>
      <c r="V41" s="19">
        <f t="shared" si="55"/>
        <v>0.1</v>
      </c>
      <c r="W41" s="19">
        <f t="shared" si="55"/>
        <v>0.1</v>
      </c>
      <c r="X41" s="19">
        <f t="shared" si="55"/>
        <v>0.1</v>
      </c>
      <c r="Y41" s="19">
        <f t="shared" si="55"/>
        <v>0.1</v>
      </c>
    </row>
    <row r="43" spans="1:25" ht="10.75" x14ac:dyDescent="0.55000000000000004">
      <c r="A43" s="39" t="s">
        <v>319</v>
      </c>
    </row>
    <row r="44" spans="1:25" x14ac:dyDescent="0.5">
      <c r="A44" s="14" t="s">
        <v>320</v>
      </c>
      <c r="F44" s="14">
        <f>F34/4*F33</f>
        <v>26250</v>
      </c>
      <c r="G44" s="14">
        <f t="shared" ref="G44:Y44" si="56">G34/4*G33</f>
        <v>26250</v>
      </c>
      <c r="H44" s="14">
        <f t="shared" si="56"/>
        <v>35000</v>
      </c>
      <c r="I44" s="14">
        <f t="shared" si="56"/>
        <v>43750</v>
      </c>
      <c r="J44" s="14">
        <f t="shared" si="56"/>
        <v>52500</v>
      </c>
      <c r="K44" s="14">
        <f t="shared" si="56"/>
        <v>61250</v>
      </c>
      <c r="L44" s="14">
        <f t="shared" si="56"/>
        <v>70000</v>
      </c>
      <c r="M44" s="14">
        <f t="shared" si="56"/>
        <v>140000</v>
      </c>
      <c r="N44" s="14">
        <f t="shared" si="56"/>
        <v>210000</v>
      </c>
      <c r="O44" s="14">
        <f t="shared" si="56"/>
        <v>280000</v>
      </c>
      <c r="P44" s="14">
        <f t="shared" si="56"/>
        <v>358750</v>
      </c>
      <c r="Q44" s="14">
        <f t="shared" si="56"/>
        <v>455000</v>
      </c>
      <c r="R44" s="14">
        <f t="shared" si="56"/>
        <v>551250</v>
      </c>
      <c r="S44" s="14">
        <f t="shared" si="56"/>
        <v>665000</v>
      </c>
      <c r="T44" s="14">
        <f t="shared" si="56"/>
        <v>796250</v>
      </c>
      <c r="U44" s="14">
        <f t="shared" si="56"/>
        <v>945000</v>
      </c>
      <c r="V44" s="14">
        <f t="shared" si="56"/>
        <v>1120000</v>
      </c>
      <c r="W44" s="14">
        <f t="shared" si="56"/>
        <v>1330000</v>
      </c>
      <c r="X44" s="14">
        <f t="shared" si="56"/>
        <v>1583750</v>
      </c>
      <c r="Y44" s="14">
        <f t="shared" si="56"/>
        <v>1881250</v>
      </c>
    </row>
    <row r="45" spans="1:25" x14ac:dyDescent="0.5">
      <c r="A45" s="14" t="s">
        <v>321</v>
      </c>
      <c r="F45" s="14">
        <f>F39/4*F38</f>
        <v>8750</v>
      </c>
      <c r="G45" s="14">
        <f t="shared" ref="G45:Y45" si="57">G39/4*G38</f>
        <v>8750</v>
      </c>
      <c r="H45" s="14">
        <f t="shared" si="57"/>
        <v>8750</v>
      </c>
      <c r="I45" s="14">
        <f t="shared" si="57"/>
        <v>17500</v>
      </c>
      <c r="J45" s="14">
        <f t="shared" si="57"/>
        <v>17500</v>
      </c>
      <c r="K45" s="14">
        <f t="shared" si="57"/>
        <v>26250</v>
      </c>
      <c r="L45" s="14">
        <f t="shared" si="57"/>
        <v>26250</v>
      </c>
      <c r="M45" s="14">
        <f t="shared" si="57"/>
        <v>35000</v>
      </c>
      <c r="N45" s="14">
        <f t="shared" si="57"/>
        <v>35000</v>
      </c>
      <c r="O45" s="14">
        <f t="shared" si="57"/>
        <v>43750</v>
      </c>
      <c r="P45" s="14">
        <f t="shared" si="57"/>
        <v>131250</v>
      </c>
      <c r="Q45" s="14">
        <f t="shared" si="57"/>
        <v>210000</v>
      </c>
      <c r="R45" s="14">
        <f t="shared" si="57"/>
        <v>297500</v>
      </c>
      <c r="S45" s="14">
        <f t="shared" si="57"/>
        <v>393750</v>
      </c>
      <c r="T45" s="14">
        <f t="shared" si="57"/>
        <v>490000</v>
      </c>
      <c r="U45" s="14">
        <f t="shared" si="57"/>
        <v>586250</v>
      </c>
      <c r="V45" s="14">
        <f t="shared" si="57"/>
        <v>700000</v>
      </c>
      <c r="W45" s="14">
        <f t="shared" si="57"/>
        <v>822500</v>
      </c>
      <c r="X45" s="14">
        <f t="shared" si="57"/>
        <v>953750</v>
      </c>
      <c r="Y45" s="14">
        <f t="shared" si="57"/>
        <v>1102500</v>
      </c>
    </row>
    <row r="46" spans="1:25" x14ac:dyDescent="0.5">
      <c r="A46" s="14" t="s">
        <v>169</v>
      </c>
      <c r="F46" s="14">
        <f>F41*F9</f>
        <v>9060.9397590361459</v>
      </c>
      <c r="G46" s="14">
        <f t="shared" ref="G46:Y46" si="58">G41*G9</f>
        <v>14998.460176991153</v>
      </c>
      <c r="H46" s="14">
        <f t="shared" si="58"/>
        <v>10930.142857142859</v>
      </c>
      <c r="I46" s="14">
        <f t="shared" si="58"/>
        <v>17900</v>
      </c>
      <c r="J46" s="14">
        <f t="shared" si="58"/>
        <v>24100</v>
      </c>
      <c r="K46" s="14">
        <f t="shared" si="58"/>
        <v>27200</v>
      </c>
      <c r="L46" s="14">
        <f t="shared" si="58"/>
        <v>40300</v>
      </c>
      <c r="M46" s="14">
        <f t="shared" si="58"/>
        <v>50500</v>
      </c>
      <c r="N46" s="14">
        <f t="shared" si="58"/>
        <v>63000</v>
      </c>
      <c r="O46" s="14">
        <f t="shared" si="58"/>
        <v>78600</v>
      </c>
      <c r="P46" s="14">
        <f t="shared" si="58"/>
        <v>215900</v>
      </c>
      <c r="Q46" s="14">
        <f t="shared" si="58"/>
        <v>344600</v>
      </c>
      <c r="R46" s="14">
        <f t="shared" si="58"/>
        <v>480500</v>
      </c>
      <c r="S46" s="14">
        <f t="shared" si="58"/>
        <v>625500</v>
      </c>
      <c r="T46" s="14">
        <f t="shared" si="58"/>
        <v>781700</v>
      </c>
      <c r="U46" s="14">
        <f t="shared" si="58"/>
        <v>952500</v>
      </c>
      <c r="V46" s="14">
        <f t="shared" si="58"/>
        <v>1140600</v>
      </c>
      <c r="W46" s="14">
        <f t="shared" si="58"/>
        <v>1351100</v>
      </c>
      <c r="X46" s="14">
        <f t="shared" si="58"/>
        <v>1589100</v>
      </c>
      <c r="Y46" s="14">
        <f t="shared" si="58"/>
        <v>1862000</v>
      </c>
    </row>
    <row r="47" spans="1:25" x14ac:dyDescent="0.5">
      <c r="A47" s="14" t="s">
        <v>171</v>
      </c>
      <c r="F47" s="14">
        <f>18%*F40*F39+18%*F35*F34</f>
        <v>12600</v>
      </c>
      <c r="G47" s="14">
        <f t="shared" ref="G47:Y47" si="59">18%*G40*G39+18%*G35*G34</f>
        <v>0</v>
      </c>
      <c r="H47" s="14">
        <f t="shared" si="59"/>
        <v>6300</v>
      </c>
      <c r="I47" s="14">
        <f t="shared" si="59"/>
        <v>12600</v>
      </c>
      <c r="J47" s="14">
        <f t="shared" si="59"/>
        <v>6300</v>
      </c>
      <c r="K47" s="14">
        <f t="shared" si="59"/>
        <v>12600</v>
      </c>
      <c r="L47" s="14">
        <f t="shared" si="59"/>
        <v>6300</v>
      </c>
      <c r="M47" s="14">
        <f t="shared" si="59"/>
        <v>56700</v>
      </c>
      <c r="N47" s="14">
        <f t="shared" si="59"/>
        <v>50400</v>
      </c>
      <c r="O47" s="14">
        <f t="shared" si="59"/>
        <v>56700</v>
      </c>
      <c r="P47" s="14">
        <f t="shared" si="59"/>
        <v>119699.99999999999</v>
      </c>
      <c r="Q47" s="14">
        <f t="shared" si="59"/>
        <v>126000</v>
      </c>
      <c r="R47" s="14">
        <f t="shared" si="59"/>
        <v>132300</v>
      </c>
      <c r="S47" s="14">
        <f t="shared" si="59"/>
        <v>151200</v>
      </c>
      <c r="T47" s="14">
        <f t="shared" si="59"/>
        <v>163800</v>
      </c>
      <c r="U47" s="14">
        <f t="shared" si="59"/>
        <v>176400</v>
      </c>
      <c r="V47" s="14">
        <f t="shared" si="59"/>
        <v>207900</v>
      </c>
      <c r="W47" s="14">
        <f t="shared" si="59"/>
        <v>239400</v>
      </c>
      <c r="X47" s="14">
        <f t="shared" si="59"/>
        <v>277200</v>
      </c>
      <c r="Y47" s="14">
        <f t="shared" si="59"/>
        <v>321300</v>
      </c>
    </row>
    <row r="49" spans="1:25" x14ac:dyDescent="0.5">
      <c r="A49" s="14" t="s">
        <v>322</v>
      </c>
      <c r="F49" s="14">
        <f>F33+F38</f>
        <v>4</v>
      </c>
      <c r="G49" s="14">
        <f t="shared" ref="G49:Y49" si="60">G33+G38</f>
        <v>4</v>
      </c>
      <c r="H49" s="14">
        <f t="shared" si="60"/>
        <v>5</v>
      </c>
      <c r="I49" s="14">
        <f t="shared" si="60"/>
        <v>7</v>
      </c>
      <c r="J49" s="14">
        <f t="shared" si="60"/>
        <v>8</v>
      </c>
      <c r="K49" s="14">
        <f t="shared" si="60"/>
        <v>10</v>
      </c>
      <c r="L49" s="14">
        <f t="shared" si="60"/>
        <v>11</v>
      </c>
      <c r="M49" s="14">
        <f t="shared" si="60"/>
        <v>20</v>
      </c>
      <c r="N49" s="14">
        <f t="shared" si="60"/>
        <v>28</v>
      </c>
      <c r="O49" s="14">
        <f t="shared" si="60"/>
        <v>37</v>
      </c>
      <c r="P49" s="14">
        <f t="shared" si="60"/>
        <v>56</v>
      </c>
      <c r="Q49" s="14">
        <f t="shared" si="60"/>
        <v>76</v>
      </c>
      <c r="R49" s="14">
        <f t="shared" si="60"/>
        <v>97</v>
      </c>
      <c r="S49" s="14">
        <f t="shared" si="60"/>
        <v>121</v>
      </c>
      <c r="T49" s="14">
        <f t="shared" si="60"/>
        <v>147</v>
      </c>
      <c r="U49" s="14">
        <f t="shared" si="60"/>
        <v>175</v>
      </c>
      <c r="V49" s="14">
        <f t="shared" si="60"/>
        <v>208</v>
      </c>
      <c r="W49" s="14">
        <f t="shared" si="60"/>
        <v>246</v>
      </c>
      <c r="X49" s="14">
        <f t="shared" si="60"/>
        <v>290</v>
      </c>
      <c r="Y49" s="14">
        <f t="shared" si="60"/>
        <v>341</v>
      </c>
    </row>
    <row r="51" spans="1:25" ht="10.75" x14ac:dyDescent="0.55000000000000004">
      <c r="A51" s="39" t="s">
        <v>175</v>
      </c>
    </row>
    <row r="52" spans="1:25" x14ac:dyDescent="0.5">
      <c r="A52" s="14" t="s">
        <v>323</v>
      </c>
      <c r="F52" s="17">
        <v>4</v>
      </c>
      <c r="G52" s="17">
        <f>F52</f>
        <v>4</v>
      </c>
      <c r="H52" s="17">
        <f t="shared" ref="H52:Y52" si="61">G52</f>
        <v>4</v>
      </c>
      <c r="I52" s="17">
        <f t="shared" si="61"/>
        <v>4</v>
      </c>
      <c r="J52" s="17">
        <f t="shared" si="61"/>
        <v>4</v>
      </c>
      <c r="K52" s="17">
        <f t="shared" si="61"/>
        <v>4</v>
      </c>
      <c r="L52" s="17">
        <f t="shared" si="61"/>
        <v>4</v>
      </c>
      <c r="M52" s="17">
        <f t="shared" si="61"/>
        <v>4</v>
      </c>
      <c r="N52" s="17">
        <f t="shared" si="61"/>
        <v>4</v>
      </c>
      <c r="O52" s="17">
        <f t="shared" si="61"/>
        <v>4</v>
      </c>
      <c r="P52" s="17">
        <f t="shared" si="61"/>
        <v>4</v>
      </c>
      <c r="Q52" s="17">
        <f t="shared" si="61"/>
        <v>4</v>
      </c>
      <c r="R52" s="17">
        <f t="shared" si="61"/>
        <v>4</v>
      </c>
      <c r="S52" s="17">
        <f t="shared" si="61"/>
        <v>4</v>
      </c>
      <c r="T52" s="17">
        <f t="shared" si="61"/>
        <v>4</v>
      </c>
      <c r="U52" s="17">
        <f t="shared" si="61"/>
        <v>4</v>
      </c>
      <c r="V52" s="17">
        <f t="shared" si="61"/>
        <v>4</v>
      </c>
      <c r="W52" s="17">
        <f t="shared" si="61"/>
        <v>4</v>
      </c>
      <c r="X52" s="17">
        <f t="shared" si="61"/>
        <v>4</v>
      </c>
      <c r="Y52" s="17">
        <f t="shared" si="61"/>
        <v>4</v>
      </c>
    </row>
    <row r="53" spans="1:25" x14ac:dyDescent="0.5">
      <c r="A53" s="14" t="s">
        <v>176</v>
      </c>
      <c r="E53" s="24">
        <v>2</v>
      </c>
      <c r="F53" s="14">
        <f>MAX(2,ROUND(F49/F52,0))</f>
        <v>2</v>
      </c>
      <c r="G53" s="14">
        <f t="shared" ref="G53:Y53" si="62">MAX(2,ROUND(G49/G52,0))</f>
        <v>2</v>
      </c>
      <c r="H53" s="14">
        <f t="shared" si="62"/>
        <v>2</v>
      </c>
      <c r="I53" s="14">
        <f t="shared" si="62"/>
        <v>2</v>
      </c>
      <c r="J53" s="14">
        <f t="shared" si="62"/>
        <v>2</v>
      </c>
      <c r="K53" s="14">
        <f t="shared" si="62"/>
        <v>3</v>
      </c>
      <c r="L53" s="14">
        <f t="shared" si="62"/>
        <v>3</v>
      </c>
      <c r="M53" s="14">
        <f t="shared" si="62"/>
        <v>5</v>
      </c>
      <c r="N53" s="14">
        <f t="shared" si="62"/>
        <v>7</v>
      </c>
      <c r="O53" s="14">
        <f t="shared" si="62"/>
        <v>9</v>
      </c>
      <c r="P53" s="14">
        <f t="shared" si="62"/>
        <v>14</v>
      </c>
      <c r="Q53" s="14">
        <f t="shared" si="62"/>
        <v>19</v>
      </c>
      <c r="R53" s="14">
        <f t="shared" si="62"/>
        <v>24</v>
      </c>
      <c r="S53" s="14">
        <f t="shared" si="62"/>
        <v>30</v>
      </c>
      <c r="T53" s="14">
        <f t="shared" si="62"/>
        <v>37</v>
      </c>
      <c r="U53" s="14">
        <f t="shared" si="62"/>
        <v>44</v>
      </c>
      <c r="V53" s="14">
        <f t="shared" si="62"/>
        <v>52</v>
      </c>
      <c r="W53" s="14">
        <f t="shared" si="62"/>
        <v>62</v>
      </c>
      <c r="X53" s="14">
        <f t="shared" si="62"/>
        <v>73</v>
      </c>
      <c r="Y53" s="14">
        <f t="shared" si="62"/>
        <v>85</v>
      </c>
    </row>
    <row r="54" spans="1:25" x14ac:dyDescent="0.5">
      <c r="A54" s="14" t="s">
        <v>177</v>
      </c>
      <c r="F54" s="17">
        <v>25000</v>
      </c>
      <c r="G54" s="14">
        <f>F54</f>
        <v>25000</v>
      </c>
      <c r="H54" s="14">
        <f t="shared" ref="H54:Y54" si="63">G54</f>
        <v>25000</v>
      </c>
      <c r="I54" s="14">
        <f t="shared" si="63"/>
        <v>25000</v>
      </c>
      <c r="J54" s="14">
        <f t="shared" si="63"/>
        <v>25000</v>
      </c>
      <c r="K54" s="14">
        <f t="shared" si="63"/>
        <v>25000</v>
      </c>
      <c r="L54" s="14">
        <f t="shared" si="63"/>
        <v>25000</v>
      </c>
      <c r="M54" s="14">
        <f t="shared" si="63"/>
        <v>25000</v>
      </c>
      <c r="N54" s="14">
        <f t="shared" si="63"/>
        <v>25000</v>
      </c>
      <c r="O54" s="14">
        <f t="shared" si="63"/>
        <v>25000</v>
      </c>
      <c r="P54" s="14">
        <f t="shared" si="63"/>
        <v>25000</v>
      </c>
      <c r="Q54" s="14">
        <f t="shared" si="63"/>
        <v>25000</v>
      </c>
      <c r="R54" s="14">
        <f t="shared" si="63"/>
        <v>25000</v>
      </c>
      <c r="S54" s="14">
        <f t="shared" si="63"/>
        <v>25000</v>
      </c>
      <c r="T54" s="14">
        <f t="shared" si="63"/>
        <v>25000</v>
      </c>
      <c r="U54" s="14">
        <f t="shared" si="63"/>
        <v>25000</v>
      </c>
      <c r="V54" s="14">
        <f t="shared" si="63"/>
        <v>25000</v>
      </c>
      <c r="W54" s="14">
        <f t="shared" si="63"/>
        <v>25000</v>
      </c>
      <c r="X54" s="14">
        <f t="shared" si="63"/>
        <v>25000</v>
      </c>
      <c r="Y54" s="14">
        <f t="shared" si="63"/>
        <v>25000</v>
      </c>
    </row>
    <row r="55" spans="1:25" x14ac:dyDescent="0.5">
      <c r="A55" s="14" t="s">
        <v>163</v>
      </c>
      <c r="F55" s="14">
        <f>F53-E53</f>
        <v>0</v>
      </c>
      <c r="G55" s="14">
        <f t="shared" ref="G55:Y55" si="64">G53-F53</f>
        <v>0</v>
      </c>
      <c r="H55" s="14">
        <f t="shared" si="64"/>
        <v>0</v>
      </c>
      <c r="I55" s="14">
        <f t="shared" si="64"/>
        <v>0</v>
      </c>
      <c r="J55" s="14">
        <f t="shared" si="64"/>
        <v>0</v>
      </c>
      <c r="K55" s="14">
        <f t="shared" si="64"/>
        <v>1</v>
      </c>
      <c r="L55" s="14">
        <f t="shared" si="64"/>
        <v>0</v>
      </c>
      <c r="M55" s="14">
        <f t="shared" si="64"/>
        <v>2</v>
      </c>
      <c r="N55" s="14">
        <f t="shared" si="64"/>
        <v>2</v>
      </c>
      <c r="O55" s="14">
        <f t="shared" si="64"/>
        <v>2</v>
      </c>
      <c r="P55" s="14">
        <f t="shared" si="64"/>
        <v>5</v>
      </c>
      <c r="Q55" s="14">
        <f t="shared" si="64"/>
        <v>5</v>
      </c>
      <c r="R55" s="14">
        <f t="shared" si="64"/>
        <v>5</v>
      </c>
      <c r="S55" s="14">
        <f t="shared" si="64"/>
        <v>6</v>
      </c>
      <c r="T55" s="14">
        <f t="shared" si="64"/>
        <v>7</v>
      </c>
      <c r="U55" s="14">
        <f t="shared" si="64"/>
        <v>7</v>
      </c>
      <c r="V55" s="14">
        <f t="shared" si="64"/>
        <v>8</v>
      </c>
      <c r="W55" s="14">
        <f t="shared" si="64"/>
        <v>10</v>
      </c>
      <c r="X55" s="14">
        <f t="shared" si="64"/>
        <v>11</v>
      </c>
      <c r="Y55" s="14">
        <f t="shared" si="64"/>
        <v>12</v>
      </c>
    </row>
    <row r="56" spans="1:25" x14ac:dyDescent="0.5">
      <c r="A56" s="14" t="s">
        <v>178</v>
      </c>
      <c r="F56" s="14">
        <f>F54/4*F53</f>
        <v>12500</v>
      </c>
      <c r="G56" s="14">
        <f t="shared" ref="G56:Y56" si="65">G54/4*G53</f>
        <v>12500</v>
      </c>
      <c r="H56" s="14">
        <f t="shared" si="65"/>
        <v>12500</v>
      </c>
      <c r="I56" s="14">
        <f t="shared" si="65"/>
        <v>12500</v>
      </c>
      <c r="J56" s="14">
        <f t="shared" si="65"/>
        <v>12500</v>
      </c>
      <c r="K56" s="14">
        <f t="shared" si="65"/>
        <v>18750</v>
      </c>
      <c r="L56" s="14">
        <f t="shared" si="65"/>
        <v>18750</v>
      </c>
      <c r="M56" s="14">
        <f t="shared" si="65"/>
        <v>31250</v>
      </c>
      <c r="N56" s="14">
        <f t="shared" si="65"/>
        <v>43750</v>
      </c>
      <c r="O56" s="14">
        <f t="shared" si="65"/>
        <v>56250</v>
      </c>
      <c r="P56" s="14">
        <f t="shared" si="65"/>
        <v>87500</v>
      </c>
      <c r="Q56" s="14">
        <f t="shared" si="65"/>
        <v>118750</v>
      </c>
      <c r="R56" s="14">
        <f t="shared" si="65"/>
        <v>150000</v>
      </c>
      <c r="S56" s="14">
        <f t="shared" si="65"/>
        <v>187500</v>
      </c>
      <c r="T56" s="14">
        <f t="shared" si="65"/>
        <v>231250</v>
      </c>
      <c r="U56" s="14">
        <f t="shared" si="65"/>
        <v>275000</v>
      </c>
      <c r="V56" s="14">
        <f t="shared" si="65"/>
        <v>325000</v>
      </c>
      <c r="W56" s="14">
        <f t="shared" si="65"/>
        <v>387500</v>
      </c>
      <c r="X56" s="14">
        <f t="shared" si="65"/>
        <v>456250</v>
      </c>
      <c r="Y56" s="14">
        <f t="shared" si="65"/>
        <v>531250</v>
      </c>
    </row>
    <row r="57" spans="1:25" x14ac:dyDescent="0.5">
      <c r="A57" s="14" t="s">
        <v>171</v>
      </c>
      <c r="F57" s="14">
        <f>18%*F55*F54</f>
        <v>0</v>
      </c>
      <c r="G57" s="14">
        <f t="shared" ref="G57:Y57" si="66">18%*G55*G54</f>
        <v>0</v>
      </c>
      <c r="H57" s="14">
        <f t="shared" si="66"/>
        <v>0</v>
      </c>
      <c r="I57" s="14">
        <f t="shared" si="66"/>
        <v>0</v>
      </c>
      <c r="J57" s="14">
        <f t="shared" si="66"/>
        <v>0</v>
      </c>
      <c r="K57" s="14">
        <f t="shared" si="66"/>
        <v>4500</v>
      </c>
      <c r="L57" s="14">
        <f t="shared" si="66"/>
        <v>0</v>
      </c>
      <c r="M57" s="14">
        <f t="shared" si="66"/>
        <v>9000</v>
      </c>
      <c r="N57" s="14">
        <f t="shared" si="66"/>
        <v>9000</v>
      </c>
      <c r="O57" s="14">
        <f t="shared" si="66"/>
        <v>9000</v>
      </c>
      <c r="P57" s="14">
        <f t="shared" si="66"/>
        <v>22499.999999999996</v>
      </c>
      <c r="Q57" s="14">
        <f t="shared" si="66"/>
        <v>22499.999999999996</v>
      </c>
      <c r="R57" s="14">
        <f t="shared" si="66"/>
        <v>22499.999999999996</v>
      </c>
      <c r="S57" s="14">
        <f t="shared" si="66"/>
        <v>27000</v>
      </c>
      <c r="T57" s="14">
        <f t="shared" si="66"/>
        <v>31500</v>
      </c>
      <c r="U57" s="14">
        <f t="shared" si="66"/>
        <v>31500</v>
      </c>
      <c r="V57" s="14">
        <f t="shared" si="66"/>
        <v>36000</v>
      </c>
      <c r="W57" s="14">
        <f t="shared" si="66"/>
        <v>44999.999999999993</v>
      </c>
      <c r="X57" s="14">
        <f t="shared" si="66"/>
        <v>49500</v>
      </c>
      <c r="Y57" s="14">
        <f t="shared" si="66"/>
        <v>54000</v>
      </c>
    </row>
    <row r="59" spans="1:25" x14ac:dyDescent="0.5">
      <c r="A59" s="14" t="s">
        <v>324</v>
      </c>
      <c r="F59" s="14">
        <f>F16+F33+F38+F53</f>
        <v>8</v>
      </c>
      <c r="G59" s="14">
        <f t="shared" ref="G59:X59" si="67">G16+G33+G38+G53</f>
        <v>8</v>
      </c>
      <c r="H59" s="14">
        <f t="shared" si="67"/>
        <v>9</v>
      </c>
      <c r="I59" s="14">
        <f t="shared" si="67"/>
        <v>12</v>
      </c>
      <c r="J59" s="14">
        <f t="shared" si="67"/>
        <v>13</v>
      </c>
      <c r="K59" s="14">
        <f t="shared" si="67"/>
        <v>17</v>
      </c>
      <c r="L59" s="14">
        <f t="shared" si="67"/>
        <v>18</v>
      </c>
      <c r="M59" s="14">
        <f t="shared" si="67"/>
        <v>33</v>
      </c>
      <c r="N59" s="14">
        <f t="shared" si="67"/>
        <v>47</v>
      </c>
      <c r="O59" s="14">
        <f t="shared" si="67"/>
        <v>62</v>
      </c>
      <c r="P59" s="14">
        <f t="shared" si="67"/>
        <v>91</v>
      </c>
      <c r="Q59" s="14">
        <f t="shared" si="67"/>
        <v>121</v>
      </c>
      <c r="R59" s="14">
        <f t="shared" si="67"/>
        <v>153</v>
      </c>
      <c r="S59" s="14">
        <f t="shared" si="67"/>
        <v>189</v>
      </c>
      <c r="T59" s="14">
        <f t="shared" si="67"/>
        <v>230</v>
      </c>
      <c r="U59" s="14">
        <f t="shared" si="67"/>
        <v>273</v>
      </c>
      <c r="V59" s="14">
        <f t="shared" si="67"/>
        <v>324</v>
      </c>
      <c r="W59" s="14">
        <f t="shared" si="67"/>
        <v>384</v>
      </c>
      <c r="X59" s="14">
        <f t="shared" si="67"/>
        <v>454</v>
      </c>
      <c r="Y59" s="14">
        <f>Y16+Y33+Y38+Y53</f>
        <v>534</v>
      </c>
    </row>
    <row r="62" spans="1:25" x14ac:dyDescent="0.5">
      <c r="A62" s="31" t="s">
        <v>182</v>
      </c>
    </row>
    <row r="63" spans="1:25" x14ac:dyDescent="0.5">
      <c r="A63" s="14" t="s">
        <v>183</v>
      </c>
      <c r="E63" s="24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</row>
    <row r="64" spans="1:25" x14ac:dyDescent="0.5">
      <c r="A64" s="14" t="s">
        <v>184</v>
      </c>
      <c r="F64" s="17">
        <f>8000*12</f>
        <v>96000</v>
      </c>
      <c r="G64" s="14">
        <f>F64</f>
        <v>96000</v>
      </c>
      <c r="H64" s="14">
        <f t="shared" ref="H64:Y64" si="68">G64</f>
        <v>96000</v>
      </c>
      <c r="I64" s="14">
        <f t="shared" si="68"/>
        <v>96000</v>
      </c>
      <c r="J64" s="14">
        <f t="shared" si="68"/>
        <v>96000</v>
      </c>
      <c r="K64" s="14">
        <f t="shared" si="68"/>
        <v>96000</v>
      </c>
      <c r="L64" s="14">
        <f t="shared" si="68"/>
        <v>96000</v>
      </c>
      <c r="M64" s="14">
        <f t="shared" si="68"/>
        <v>96000</v>
      </c>
      <c r="N64" s="14">
        <f t="shared" si="68"/>
        <v>96000</v>
      </c>
      <c r="O64" s="14">
        <f t="shared" si="68"/>
        <v>96000</v>
      </c>
      <c r="P64" s="14">
        <f t="shared" si="68"/>
        <v>96000</v>
      </c>
      <c r="Q64" s="14">
        <f t="shared" si="68"/>
        <v>96000</v>
      </c>
      <c r="R64" s="14">
        <f t="shared" si="68"/>
        <v>96000</v>
      </c>
      <c r="S64" s="14">
        <f t="shared" si="68"/>
        <v>96000</v>
      </c>
      <c r="T64" s="14">
        <f t="shared" si="68"/>
        <v>96000</v>
      </c>
      <c r="U64" s="14">
        <f t="shared" si="68"/>
        <v>96000</v>
      </c>
      <c r="V64" s="14">
        <f t="shared" si="68"/>
        <v>96000</v>
      </c>
      <c r="W64" s="14">
        <f t="shared" si="68"/>
        <v>96000</v>
      </c>
      <c r="X64" s="14">
        <f t="shared" si="68"/>
        <v>96000</v>
      </c>
      <c r="Y64" s="14">
        <f t="shared" si="68"/>
        <v>96000</v>
      </c>
    </row>
    <row r="65" spans="1:25" x14ac:dyDescent="0.5">
      <c r="A65" s="14" t="s">
        <v>163</v>
      </c>
      <c r="F65" s="14">
        <f>F63-E63</f>
        <v>0</v>
      </c>
      <c r="G65" s="14">
        <f t="shared" ref="G65:Y65" si="69">G63-F63</f>
        <v>0</v>
      </c>
      <c r="H65" s="14">
        <f t="shared" si="69"/>
        <v>0</v>
      </c>
      <c r="I65" s="14">
        <f t="shared" si="69"/>
        <v>0</v>
      </c>
      <c r="J65" s="14">
        <f t="shared" si="69"/>
        <v>0</v>
      </c>
      <c r="K65" s="14">
        <f t="shared" si="69"/>
        <v>0</v>
      </c>
      <c r="L65" s="14">
        <f t="shared" si="69"/>
        <v>0</v>
      </c>
      <c r="M65" s="14">
        <f t="shared" si="69"/>
        <v>0</v>
      </c>
      <c r="N65" s="14">
        <f t="shared" si="69"/>
        <v>0</v>
      </c>
      <c r="O65" s="14">
        <f t="shared" si="69"/>
        <v>0</v>
      </c>
      <c r="P65" s="14">
        <f t="shared" si="69"/>
        <v>0</v>
      </c>
      <c r="Q65" s="14">
        <f t="shared" si="69"/>
        <v>0</v>
      </c>
      <c r="R65" s="14">
        <f t="shared" si="69"/>
        <v>0</v>
      </c>
      <c r="S65" s="14">
        <f t="shared" si="69"/>
        <v>0</v>
      </c>
      <c r="T65" s="14">
        <f t="shared" si="69"/>
        <v>0</v>
      </c>
      <c r="U65" s="14">
        <f t="shared" si="69"/>
        <v>0</v>
      </c>
      <c r="V65" s="14">
        <f t="shared" si="69"/>
        <v>0</v>
      </c>
      <c r="W65" s="14">
        <f t="shared" si="69"/>
        <v>0</v>
      </c>
      <c r="X65" s="14">
        <f t="shared" si="69"/>
        <v>0</v>
      </c>
      <c r="Y65" s="14">
        <f t="shared" si="69"/>
        <v>0</v>
      </c>
    </row>
    <row r="66" spans="1:25" x14ac:dyDescent="0.5">
      <c r="A66" s="14" t="s">
        <v>185</v>
      </c>
      <c r="F66" s="14">
        <f>F64/4*F63</f>
        <v>0</v>
      </c>
      <c r="G66" s="14">
        <f>G64/4*G63</f>
        <v>0</v>
      </c>
      <c r="H66" s="14">
        <f t="shared" ref="H66:Y66" si="70">H64/4*H63</f>
        <v>0</v>
      </c>
      <c r="I66" s="14">
        <f t="shared" si="70"/>
        <v>0</v>
      </c>
      <c r="J66" s="14">
        <f t="shared" si="70"/>
        <v>0</v>
      </c>
      <c r="K66" s="14">
        <f t="shared" si="70"/>
        <v>0</v>
      </c>
      <c r="L66" s="14">
        <f t="shared" si="70"/>
        <v>0</v>
      </c>
      <c r="M66" s="14">
        <f t="shared" si="70"/>
        <v>0</v>
      </c>
      <c r="N66" s="14">
        <f t="shared" si="70"/>
        <v>0</v>
      </c>
      <c r="O66" s="14">
        <f t="shared" si="70"/>
        <v>0</v>
      </c>
      <c r="P66" s="14">
        <f t="shared" si="70"/>
        <v>0</v>
      </c>
      <c r="Q66" s="14">
        <f t="shared" si="70"/>
        <v>0</v>
      </c>
      <c r="R66" s="14">
        <f t="shared" si="70"/>
        <v>0</v>
      </c>
      <c r="S66" s="14">
        <f t="shared" si="70"/>
        <v>0</v>
      </c>
      <c r="T66" s="14">
        <f t="shared" si="70"/>
        <v>0</v>
      </c>
      <c r="U66" s="14">
        <f t="shared" si="70"/>
        <v>0</v>
      </c>
      <c r="V66" s="14">
        <f t="shared" si="70"/>
        <v>0</v>
      </c>
      <c r="W66" s="14">
        <f t="shared" si="70"/>
        <v>0</v>
      </c>
      <c r="X66" s="14">
        <f t="shared" si="70"/>
        <v>0</v>
      </c>
      <c r="Y66" s="14">
        <f t="shared" si="70"/>
        <v>0</v>
      </c>
    </row>
    <row r="67" spans="1:25" x14ac:dyDescent="0.5">
      <c r="A67" s="14" t="s">
        <v>171</v>
      </c>
      <c r="F67" s="14">
        <f>18%*F65*F64</f>
        <v>0</v>
      </c>
      <c r="G67" s="14">
        <f t="shared" ref="G67:Y67" si="71">18%*G65*G64</f>
        <v>0</v>
      </c>
      <c r="H67" s="14">
        <f t="shared" si="71"/>
        <v>0</v>
      </c>
      <c r="I67" s="14">
        <f t="shared" si="71"/>
        <v>0</v>
      </c>
      <c r="J67" s="14">
        <f t="shared" si="71"/>
        <v>0</v>
      </c>
      <c r="K67" s="14">
        <f t="shared" si="71"/>
        <v>0</v>
      </c>
      <c r="L67" s="14">
        <f t="shared" si="71"/>
        <v>0</v>
      </c>
      <c r="M67" s="14">
        <f t="shared" si="71"/>
        <v>0</v>
      </c>
      <c r="N67" s="14">
        <f t="shared" si="71"/>
        <v>0</v>
      </c>
      <c r="O67" s="14">
        <f t="shared" si="71"/>
        <v>0</v>
      </c>
      <c r="P67" s="14">
        <f t="shared" si="71"/>
        <v>0</v>
      </c>
      <c r="Q67" s="14">
        <f t="shared" si="71"/>
        <v>0</v>
      </c>
      <c r="R67" s="14">
        <f t="shared" si="71"/>
        <v>0</v>
      </c>
      <c r="S67" s="14">
        <f t="shared" si="71"/>
        <v>0</v>
      </c>
      <c r="T67" s="14">
        <f t="shared" si="71"/>
        <v>0</v>
      </c>
      <c r="U67" s="14">
        <f t="shared" si="71"/>
        <v>0</v>
      </c>
      <c r="V67" s="14">
        <f t="shared" si="71"/>
        <v>0</v>
      </c>
      <c r="W67" s="14">
        <f t="shared" si="71"/>
        <v>0</v>
      </c>
      <c r="X67" s="14">
        <f t="shared" si="71"/>
        <v>0</v>
      </c>
      <c r="Y67" s="14">
        <f t="shared" si="71"/>
        <v>0</v>
      </c>
    </row>
    <row r="70" spans="1:25" x14ac:dyDescent="0.5">
      <c r="A70" s="31" t="s">
        <v>172</v>
      </c>
    </row>
    <row r="71" spans="1:25" x14ac:dyDescent="0.5">
      <c r="A71" s="14" t="s">
        <v>180</v>
      </c>
      <c r="F71" s="17">
        <v>15</v>
      </c>
      <c r="G71" s="14">
        <f>F71</f>
        <v>15</v>
      </c>
      <c r="H71" s="14">
        <f t="shared" ref="H71:Y71" si="72">G71</f>
        <v>15</v>
      </c>
      <c r="I71" s="14">
        <f t="shared" si="72"/>
        <v>15</v>
      </c>
      <c r="J71" s="14">
        <f t="shared" si="72"/>
        <v>15</v>
      </c>
      <c r="K71" s="14">
        <f t="shared" si="72"/>
        <v>15</v>
      </c>
      <c r="L71" s="14">
        <f>K71</f>
        <v>15</v>
      </c>
      <c r="M71" s="14">
        <f t="shared" si="72"/>
        <v>15</v>
      </c>
      <c r="N71" s="14">
        <f t="shared" si="72"/>
        <v>15</v>
      </c>
      <c r="O71" s="14">
        <f t="shared" si="72"/>
        <v>15</v>
      </c>
      <c r="P71" s="14">
        <f t="shared" si="72"/>
        <v>15</v>
      </c>
      <c r="Q71" s="14">
        <f t="shared" si="72"/>
        <v>15</v>
      </c>
      <c r="R71" s="14">
        <f t="shared" si="72"/>
        <v>15</v>
      </c>
      <c r="S71" s="14">
        <f t="shared" si="72"/>
        <v>15</v>
      </c>
      <c r="T71" s="14">
        <f t="shared" si="72"/>
        <v>15</v>
      </c>
      <c r="U71" s="14">
        <f t="shared" si="72"/>
        <v>15</v>
      </c>
      <c r="V71" s="14">
        <f t="shared" si="72"/>
        <v>15</v>
      </c>
      <c r="W71" s="14">
        <f t="shared" si="72"/>
        <v>15</v>
      </c>
      <c r="X71" s="14">
        <f t="shared" si="72"/>
        <v>15</v>
      </c>
      <c r="Y71" s="14">
        <f t="shared" si="72"/>
        <v>15</v>
      </c>
    </row>
    <row r="72" spans="1:25" x14ac:dyDescent="0.5">
      <c r="A72" s="14" t="s">
        <v>173</v>
      </c>
      <c r="E72" s="24">
        <v>4</v>
      </c>
      <c r="F72" s="17">
        <v>4</v>
      </c>
      <c r="G72" s="17">
        <v>3</v>
      </c>
      <c r="H72" s="14">
        <f>MAX(3,ROUND(H59/H71,0))</f>
        <v>3</v>
      </c>
      <c r="I72" s="14">
        <f t="shared" ref="I72:Y72" si="73">MAX(3,ROUND(I59/I71,0))</f>
        <v>3</v>
      </c>
      <c r="J72" s="14">
        <f t="shared" si="73"/>
        <v>3</v>
      </c>
      <c r="K72" s="14">
        <f t="shared" si="73"/>
        <v>3</v>
      </c>
      <c r="L72" s="14">
        <f t="shared" si="73"/>
        <v>3</v>
      </c>
      <c r="M72" s="14">
        <f t="shared" si="73"/>
        <v>3</v>
      </c>
      <c r="N72" s="14">
        <f t="shared" si="73"/>
        <v>3</v>
      </c>
      <c r="O72" s="14">
        <f t="shared" si="73"/>
        <v>4</v>
      </c>
      <c r="P72" s="14">
        <f t="shared" si="73"/>
        <v>6</v>
      </c>
      <c r="Q72" s="14">
        <f t="shared" si="73"/>
        <v>8</v>
      </c>
      <c r="R72" s="14">
        <f t="shared" si="73"/>
        <v>10</v>
      </c>
      <c r="S72" s="14">
        <f t="shared" si="73"/>
        <v>13</v>
      </c>
      <c r="T72" s="14">
        <f t="shared" si="73"/>
        <v>15</v>
      </c>
      <c r="U72" s="14">
        <f t="shared" si="73"/>
        <v>18</v>
      </c>
      <c r="V72" s="14">
        <f t="shared" si="73"/>
        <v>22</v>
      </c>
      <c r="W72" s="14">
        <f t="shared" si="73"/>
        <v>26</v>
      </c>
      <c r="X72" s="14">
        <f t="shared" si="73"/>
        <v>30</v>
      </c>
      <c r="Y72" s="14">
        <f t="shared" si="73"/>
        <v>36</v>
      </c>
    </row>
    <row r="73" spans="1:25" x14ac:dyDescent="0.5">
      <c r="A73" s="14" t="s">
        <v>174</v>
      </c>
      <c r="F73" s="17">
        <v>100000</v>
      </c>
      <c r="G73" s="17">
        <v>100000</v>
      </c>
      <c r="H73" s="14">
        <f t="shared" ref="H73:Y73" si="74">G73</f>
        <v>100000</v>
      </c>
      <c r="I73" s="14">
        <f t="shared" si="74"/>
        <v>100000</v>
      </c>
      <c r="J73" s="14">
        <f t="shared" si="74"/>
        <v>100000</v>
      </c>
      <c r="K73" s="14">
        <f t="shared" si="74"/>
        <v>100000</v>
      </c>
      <c r="L73" s="14">
        <f t="shared" si="74"/>
        <v>100000</v>
      </c>
      <c r="M73" s="14">
        <f t="shared" si="74"/>
        <v>100000</v>
      </c>
      <c r="N73" s="14">
        <f t="shared" si="74"/>
        <v>100000</v>
      </c>
      <c r="O73" s="14">
        <f t="shared" si="74"/>
        <v>100000</v>
      </c>
      <c r="P73" s="14">
        <f t="shared" si="74"/>
        <v>100000</v>
      </c>
      <c r="Q73" s="14">
        <f t="shared" si="74"/>
        <v>100000</v>
      </c>
      <c r="R73" s="14">
        <f t="shared" si="74"/>
        <v>100000</v>
      </c>
      <c r="S73" s="14">
        <f t="shared" si="74"/>
        <v>100000</v>
      </c>
      <c r="T73" s="14">
        <f t="shared" si="74"/>
        <v>100000</v>
      </c>
      <c r="U73" s="14">
        <f t="shared" si="74"/>
        <v>100000</v>
      </c>
      <c r="V73" s="14">
        <f t="shared" si="74"/>
        <v>100000</v>
      </c>
      <c r="W73" s="14">
        <f t="shared" si="74"/>
        <v>100000</v>
      </c>
      <c r="X73" s="14">
        <f t="shared" si="74"/>
        <v>100000</v>
      </c>
      <c r="Y73" s="14">
        <f t="shared" si="74"/>
        <v>100000</v>
      </c>
    </row>
    <row r="74" spans="1:25" x14ac:dyDescent="0.5">
      <c r="A74" s="14" t="s">
        <v>163</v>
      </c>
      <c r="F74" s="14">
        <f>F72-E72</f>
        <v>0</v>
      </c>
      <c r="G74" s="14">
        <f t="shared" ref="G74:Y74" si="75">G72-F72</f>
        <v>-1</v>
      </c>
      <c r="H74" s="14">
        <f t="shared" si="75"/>
        <v>0</v>
      </c>
      <c r="I74" s="14">
        <f t="shared" si="75"/>
        <v>0</v>
      </c>
      <c r="J74" s="14">
        <f t="shared" si="75"/>
        <v>0</v>
      </c>
      <c r="K74" s="14">
        <f t="shared" si="75"/>
        <v>0</v>
      </c>
      <c r="L74" s="14">
        <f t="shared" si="75"/>
        <v>0</v>
      </c>
      <c r="M74" s="14">
        <f t="shared" si="75"/>
        <v>0</v>
      </c>
      <c r="N74" s="14">
        <f t="shared" si="75"/>
        <v>0</v>
      </c>
      <c r="O74" s="14">
        <f t="shared" si="75"/>
        <v>1</v>
      </c>
      <c r="P74" s="14">
        <f t="shared" si="75"/>
        <v>2</v>
      </c>
      <c r="Q74" s="14">
        <f t="shared" si="75"/>
        <v>2</v>
      </c>
      <c r="R74" s="14">
        <f t="shared" si="75"/>
        <v>2</v>
      </c>
      <c r="S74" s="14">
        <f t="shared" si="75"/>
        <v>3</v>
      </c>
      <c r="T74" s="14">
        <f t="shared" si="75"/>
        <v>2</v>
      </c>
      <c r="U74" s="14">
        <f t="shared" si="75"/>
        <v>3</v>
      </c>
      <c r="V74" s="14">
        <f t="shared" si="75"/>
        <v>4</v>
      </c>
      <c r="W74" s="14">
        <f t="shared" si="75"/>
        <v>4</v>
      </c>
      <c r="X74" s="14">
        <f t="shared" si="75"/>
        <v>4</v>
      </c>
      <c r="Y74" s="14">
        <f t="shared" si="75"/>
        <v>6</v>
      </c>
    </row>
    <row r="75" spans="1:25" x14ac:dyDescent="0.5">
      <c r="A75" s="14" t="s">
        <v>181</v>
      </c>
      <c r="F75" s="14">
        <f>F73/4*F72</f>
        <v>100000</v>
      </c>
      <c r="G75" s="14">
        <f t="shared" ref="G75:Y75" si="76">G73/4*G72</f>
        <v>75000</v>
      </c>
      <c r="H75" s="14">
        <f t="shared" si="76"/>
        <v>75000</v>
      </c>
      <c r="I75" s="14">
        <f t="shared" si="76"/>
        <v>75000</v>
      </c>
      <c r="J75" s="14">
        <f t="shared" si="76"/>
        <v>75000</v>
      </c>
      <c r="K75" s="14">
        <f t="shared" si="76"/>
        <v>75000</v>
      </c>
      <c r="L75" s="14">
        <f t="shared" si="76"/>
        <v>75000</v>
      </c>
      <c r="M75" s="14">
        <f t="shared" si="76"/>
        <v>75000</v>
      </c>
      <c r="N75" s="14">
        <f t="shared" si="76"/>
        <v>75000</v>
      </c>
      <c r="O75" s="14">
        <f t="shared" si="76"/>
        <v>100000</v>
      </c>
      <c r="P75" s="14">
        <f t="shared" si="76"/>
        <v>150000</v>
      </c>
      <c r="Q75" s="14">
        <f t="shared" si="76"/>
        <v>200000</v>
      </c>
      <c r="R75" s="14">
        <f t="shared" si="76"/>
        <v>250000</v>
      </c>
      <c r="S75" s="14">
        <f t="shared" si="76"/>
        <v>325000</v>
      </c>
      <c r="T75" s="14">
        <f t="shared" si="76"/>
        <v>375000</v>
      </c>
      <c r="U75" s="14">
        <f t="shared" si="76"/>
        <v>450000</v>
      </c>
      <c r="V75" s="14">
        <f t="shared" si="76"/>
        <v>550000</v>
      </c>
      <c r="W75" s="14">
        <f t="shared" si="76"/>
        <v>650000</v>
      </c>
      <c r="X75" s="14">
        <f t="shared" si="76"/>
        <v>750000</v>
      </c>
      <c r="Y75" s="14">
        <f t="shared" si="76"/>
        <v>900000</v>
      </c>
    </row>
    <row r="76" spans="1:25" x14ac:dyDescent="0.5">
      <c r="A76" s="14" t="s">
        <v>171</v>
      </c>
      <c r="F76" s="14">
        <f t="shared" ref="F76" si="77">MAX(0,18%*F73*F74)</f>
        <v>0</v>
      </c>
      <c r="G76" s="14">
        <f>MAX(0,18%*G73*G74)</f>
        <v>0</v>
      </c>
      <c r="H76" s="14">
        <f t="shared" ref="H76:Y76" si="78">MAX(0,18%*H73*H74)</f>
        <v>0</v>
      </c>
      <c r="I76" s="14">
        <f t="shared" si="78"/>
        <v>0</v>
      </c>
      <c r="J76" s="14">
        <f t="shared" si="78"/>
        <v>0</v>
      </c>
      <c r="K76" s="14">
        <f t="shared" si="78"/>
        <v>0</v>
      </c>
      <c r="L76" s="14">
        <f t="shared" si="78"/>
        <v>0</v>
      </c>
      <c r="M76" s="14">
        <f t="shared" si="78"/>
        <v>0</v>
      </c>
      <c r="N76" s="14">
        <f t="shared" si="78"/>
        <v>0</v>
      </c>
      <c r="O76" s="14">
        <f t="shared" si="78"/>
        <v>18000</v>
      </c>
      <c r="P76" s="14">
        <f t="shared" si="78"/>
        <v>36000</v>
      </c>
      <c r="Q76" s="14">
        <f t="shared" si="78"/>
        <v>36000</v>
      </c>
      <c r="R76" s="14">
        <f t="shared" si="78"/>
        <v>36000</v>
      </c>
      <c r="S76" s="14">
        <f t="shared" si="78"/>
        <v>54000</v>
      </c>
      <c r="T76" s="14">
        <f t="shared" si="78"/>
        <v>36000</v>
      </c>
      <c r="U76" s="14">
        <f t="shared" si="78"/>
        <v>54000</v>
      </c>
      <c r="V76" s="14">
        <f t="shared" si="78"/>
        <v>72000</v>
      </c>
      <c r="W76" s="14">
        <f t="shared" si="78"/>
        <v>72000</v>
      </c>
      <c r="X76" s="14">
        <f t="shared" si="78"/>
        <v>72000</v>
      </c>
      <c r="Y76" s="14">
        <f t="shared" si="78"/>
        <v>108000</v>
      </c>
    </row>
    <row r="78" spans="1:25" x14ac:dyDescent="0.5">
      <c r="A78" s="31" t="s">
        <v>325</v>
      </c>
    </row>
    <row r="79" spans="1:25" x14ac:dyDescent="0.5">
      <c r="A79" s="14" t="s">
        <v>327</v>
      </c>
      <c r="F79" s="14">
        <f>Marketing!F51</f>
        <v>0</v>
      </c>
      <c r="G79" s="14">
        <f>Marketing!G51</f>
        <v>0</v>
      </c>
      <c r="H79" s="14">
        <f>Marketing!H51</f>
        <v>0</v>
      </c>
      <c r="I79" s="14">
        <f>Marketing!I51</f>
        <v>0</v>
      </c>
      <c r="J79" s="14">
        <f>Marketing!J51</f>
        <v>0</v>
      </c>
      <c r="K79" s="14">
        <f>Marketing!K51</f>
        <v>0</v>
      </c>
      <c r="L79" s="14">
        <f>Marketing!L51</f>
        <v>0</v>
      </c>
      <c r="M79" s="14">
        <f>Marketing!M51</f>
        <v>7</v>
      </c>
      <c r="N79" s="14">
        <f>Marketing!N51</f>
        <v>14</v>
      </c>
      <c r="O79" s="14">
        <f>Marketing!O51</f>
        <v>20</v>
      </c>
      <c r="P79" s="14">
        <f>Marketing!P51</f>
        <v>27</v>
      </c>
      <c r="Q79" s="14">
        <f>Marketing!Q51</f>
        <v>34</v>
      </c>
      <c r="R79" s="14">
        <f>Marketing!R51</f>
        <v>41</v>
      </c>
      <c r="S79" s="14">
        <f>Marketing!S51</f>
        <v>47</v>
      </c>
      <c r="T79" s="14">
        <f>Marketing!T51</f>
        <v>54</v>
      </c>
      <c r="U79" s="14">
        <f>Marketing!U51</f>
        <v>61</v>
      </c>
      <c r="V79" s="14">
        <f>Marketing!V51</f>
        <v>68</v>
      </c>
      <c r="W79" s="14">
        <f>Marketing!W51</f>
        <v>74</v>
      </c>
      <c r="X79" s="14">
        <f>Marketing!X51</f>
        <v>81</v>
      </c>
      <c r="Y79" s="14">
        <f>Marketing!Y51</f>
        <v>88</v>
      </c>
    </row>
    <row r="80" spans="1:25" x14ac:dyDescent="0.5">
      <c r="A80" s="14" t="s">
        <v>240</v>
      </c>
      <c r="F80" s="17">
        <v>25000</v>
      </c>
      <c r="G80" s="14">
        <f>F80</f>
        <v>25000</v>
      </c>
      <c r="H80" s="14">
        <f t="shared" ref="H80:Y80" si="79">G80</f>
        <v>25000</v>
      </c>
      <c r="I80" s="14">
        <f t="shared" si="79"/>
        <v>25000</v>
      </c>
      <c r="J80" s="14">
        <f t="shared" si="79"/>
        <v>25000</v>
      </c>
      <c r="K80" s="14">
        <f t="shared" si="79"/>
        <v>25000</v>
      </c>
      <c r="L80" s="14">
        <f t="shared" si="79"/>
        <v>25000</v>
      </c>
      <c r="M80" s="14">
        <f t="shared" si="79"/>
        <v>25000</v>
      </c>
      <c r="N80" s="14">
        <f t="shared" si="79"/>
        <v>25000</v>
      </c>
      <c r="O80" s="14">
        <f t="shared" si="79"/>
        <v>25000</v>
      </c>
      <c r="P80" s="14">
        <f t="shared" si="79"/>
        <v>25000</v>
      </c>
      <c r="Q80" s="14">
        <f t="shared" si="79"/>
        <v>25000</v>
      </c>
      <c r="R80" s="14">
        <f t="shared" si="79"/>
        <v>25000</v>
      </c>
      <c r="S80" s="14">
        <f t="shared" si="79"/>
        <v>25000</v>
      </c>
      <c r="T80" s="14">
        <f t="shared" si="79"/>
        <v>25000</v>
      </c>
      <c r="U80" s="14">
        <f t="shared" si="79"/>
        <v>25000</v>
      </c>
      <c r="V80" s="14">
        <f t="shared" si="79"/>
        <v>25000</v>
      </c>
      <c r="W80" s="14">
        <f t="shared" si="79"/>
        <v>25000</v>
      </c>
      <c r="X80" s="14">
        <f t="shared" si="79"/>
        <v>25000</v>
      </c>
      <c r="Y80" s="14">
        <f t="shared" si="79"/>
        <v>25000</v>
      </c>
    </row>
    <row r="81" spans="1:25" x14ac:dyDescent="0.5">
      <c r="A81" s="14" t="s">
        <v>163</v>
      </c>
      <c r="F81" s="14">
        <f>F79-E79</f>
        <v>0</v>
      </c>
      <c r="G81" s="14">
        <f t="shared" ref="G81:Y81" si="80">G79-F79</f>
        <v>0</v>
      </c>
      <c r="H81" s="14">
        <f t="shared" si="80"/>
        <v>0</v>
      </c>
      <c r="I81" s="14">
        <f t="shared" si="80"/>
        <v>0</v>
      </c>
      <c r="J81" s="14">
        <f t="shared" si="80"/>
        <v>0</v>
      </c>
      <c r="K81" s="14">
        <f t="shared" si="80"/>
        <v>0</v>
      </c>
      <c r="L81" s="14">
        <f t="shared" si="80"/>
        <v>0</v>
      </c>
      <c r="M81" s="14">
        <f t="shared" si="80"/>
        <v>7</v>
      </c>
      <c r="N81" s="14">
        <f t="shared" si="80"/>
        <v>7</v>
      </c>
      <c r="O81" s="14">
        <f t="shared" si="80"/>
        <v>6</v>
      </c>
      <c r="P81" s="14">
        <f t="shared" si="80"/>
        <v>7</v>
      </c>
      <c r="Q81" s="14">
        <f t="shared" si="80"/>
        <v>7</v>
      </c>
      <c r="R81" s="14">
        <f t="shared" si="80"/>
        <v>7</v>
      </c>
      <c r="S81" s="14">
        <f t="shared" si="80"/>
        <v>6</v>
      </c>
      <c r="T81" s="14">
        <f t="shared" si="80"/>
        <v>7</v>
      </c>
      <c r="U81" s="14">
        <f t="shared" si="80"/>
        <v>7</v>
      </c>
      <c r="V81" s="14">
        <f t="shared" si="80"/>
        <v>7</v>
      </c>
      <c r="W81" s="14">
        <f t="shared" si="80"/>
        <v>6</v>
      </c>
      <c r="X81" s="14">
        <f t="shared" si="80"/>
        <v>7</v>
      </c>
      <c r="Y81" s="14">
        <f t="shared" si="80"/>
        <v>7</v>
      </c>
    </row>
    <row r="82" spans="1:25" x14ac:dyDescent="0.5">
      <c r="A82" s="14" t="s">
        <v>326</v>
      </c>
      <c r="F82" s="14">
        <f>F80/4*F79</f>
        <v>0</v>
      </c>
      <c r="G82" s="14">
        <f t="shared" ref="G82:Y82" si="81">G80/4*G79</f>
        <v>0</v>
      </c>
      <c r="H82" s="14">
        <f t="shared" si="81"/>
        <v>0</v>
      </c>
      <c r="I82" s="14">
        <f t="shared" si="81"/>
        <v>0</v>
      </c>
      <c r="J82" s="14">
        <f t="shared" si="81"/>
        <v>0</v>
      </c>
      <c r="K82" s="14">
        <f t="shared" si="81"/>
        <v>0</v>
      </c>
      <c r="L82" s="14">
        <f t="shared" si="81"/>
        <v>0</v>
      </c>
      <c r="M82" s="14">
        <f t="shared" si="81"/>
        <v>43750</v>
      </c>
      <c r="N82" s="14">
        <f t="shared" si="81"/>
        <v>87500</v>
      </c>
      <c r="O82" s="14">
        <f t="shared" si="81"/>
        <v>125000</v>
      </c>
      <c r="P82" s="14">
        <f t="shared" si="81"/>
        <v>168750</v>
      </c>
      <c r="Q82" s="14">
        <f t="shared" si="81"/>
        <v>212500</v>
      </c>
      <c r="R82" s="14">
        <f t="shared" si="81"/>
        <v>256250</v>
      </c>
      <c r="S82" s="14">
        <f t="shared" si="81"/>
        <v>293750</v>
      </c>
      <c r="T82" s="14">
        <f t="shared" si="81"/>
        <v>337500</v>
      </c>
      <c r="U82" s="14">
        <f t="shared" si="81"/>
        <v>381250</v>
      </c>
      <c r="V82" s="14">
        <f t="shared" si="81"/>
        <v>425000</v>
      </c>
      <c r="W82" s="14">
        <f t="shared" si="81"/>
        <v>462500</v>
      </c>
      <c r="X82" s="14">
        <f t="shared" si="81"/>
        <v>506250</v>
      </c>
      <c r="Y82" s="14">
        <f t="shared" si="81"/>
        <v>550000</v>
      </c>
    </row>
    <row r="83" spans="1:25" x14ac:dyDescent="0.5">
      <c r="A83" s="14" t="s">
        <v>171</v>
      </c>
      <c r="F83" s="14">
        <f>F81*F80*18%</f>
        <v>0</v>
      </c>
      <c r="G83" s="14">
        <f t="shared" ref="G83:Y83" si="82">G81*G80*18%</f>
        <v>0</v>
      </c>
      <c r="H83" s="14">
        <f t="shared" si="82"/>
        <v>0</v>
      </c>
      <c r="I83" s="14">
        <f t="shared" si="82"/>
        <v>0</v>
      </c>
      <c r="J83" s="14">
        <f t="shared" si="82"/>
        <v>0</v>
      </c>
      <c r="K83" s="14">
        <f t="shared" si="82"/>
        <v>0</v>
      </c>
      <c r="L83" s="14">
        <f t="shared" si="82"/>
        <v>0</v>
      </c>
      <c r="M83" s="14">
        <f t="shared" si="82"/>
        <v>31500</v>
      </c>
      <c r="N83" s="14">
        <f t="shared" si="82"/>
        <v>31500</v>
      </c>
      <c r="O83" s="14">
        <f t="shared" si="82"/>
        <v>27000</v>
      </c>
      <c r="P83" s="14">
        <f t="shared" si="82"/>
        <v>31500</v>
      </c>
      <c r="Q83" s="14">
        <f t="shared" si="82"/>
        <v>31500</v>
      </c>
      <c r="R83" s="14">
        <f t="shared" si="82"/>
        <v>31500</v>
      </c>
      <c r="S83" s="14">
        <f t="shared" si="82"/>
        <v>27000</v>
      </c>
      <c r="T83" s="14">
        <f t="shared" si="82"/>
        <v>31500</v>
      </c>
      <c r="U83" s="14">
        <f t="shared" si="82"/>
        <v>31500</v>
      </c>
      <c r="V83" s="14">
        <f t="shared" si="82"/>
        <v>31500</v>
      </c>
      <c r="W83" s="14">
        <f t="shared" si="82"/>
        <v>27000</v>
      </c>
      <c r="X83" s="14">
        <f t="shared" si="82"/>
        <v>31500</v>
      </c>
      <c r="Y83" s="14">
        <f t="shared" si="82"/>
        <v>31500</v>
      </c>
    </row>
    <row r="85" spans="1:25" x14ac:dyDescent="0.5">
      <c r="A85" s="14" t="s">
        <v>328</v>
      </c>
      <c r="F85" s="14">
        <f>Marketing!F35</f>
        <v>0</v>
      </c>
      <c r="G85" s="14">
        <f>Marketing!G35</f>
        <v>0</v>
      </c>
      <c r="H85" s="14">
        <f>Marketing!H35</f>
        <v>0</v>
      </c>
      <c r="I85" s="14">
        <f>Marketing!I35</f>
        <v>0</v>
      </c>
      <c r="J85" s="14">
        <f>Marketing!J35</f>
        <v>0</v>
      </c>
      <c r="K85" s="14">
        <f>Marketing!K35</f>
        <v>0</v>
      </c>
      <c r="L85" s="14">
        <f>Marketing!L35</f>
        <v>0</v>
      </c>
      <c r="M85" s="14">
        <f>Marketing!M35</f>
        <v>3</v>
      </c>
      <c r="N85" s="14">
        <f>Marketing!N35</f>
        <v>3</v>
      </c>
      <c r="O85" s="14">
        <f>Marketing!O35</f>
        <v>3</v>
      </c>
      <c r="P85" s="14">
        <f>Marketing!P35</f>
        <v>3</v>
      </c>
      <c r="Q85" s="14">
        <f>Marketing!Q35</f>
        <v>3</v>
      </c>
      <c r="R85" s="14">
        <f>Marketing!R35</f>
        <v>3</v>
      </c>
      <c r="S85" s="14">
        <f>Marketing!S35</f>
        <v>3</v>
      </c>
      <c r="T85" s="14">
        <f>Marketing!T35</f>
        <v>3</v>
      </c>
      <c r="U85" s="14">
        <f>Marketing!U35</f>
        <v>3</v>
      </c>
      <c r="V85" s="14">
        <f>Marketing!V35</f>
        <v>3</v>
      </c>
      <c r="W85" s="14">
        <f>Marketing!W35</f>
        <v>3</v>
      </c>
      <c r="X85" s="14">
        <f>Marketing!X35</f>
        <v>3</v>
      </c>
      <c r="Y85" s="14">
        <f>Marketing!Y35</f>
        <v>3</v>
      </c>
    </row>
    <row r="86" spans="1:25" x14ac:dyDescent="0.5">
      <c r="A86" s="14" t="s">
        <v>329</v>
      </c>
      <c r="F86" s="17">
        <v>50000</v>
      </c>
      <c r="G86" s="14">
        <f>F86</f>
        <v>50000</v>
      </c>
      <c r="H86" s="14">
        <f t="shared" ref="H86:Y86" si="83">G86</f>
        <v>50000</v>
      </c>
      <c r="I86" s="14">
        <f t="shared" si="83"/>
        <v>50000</v>
      </c>
      <c r="J86" s="14">
        <f t="shared" si="83"/>
        <v>50000</v>
      </c>
      <c r="K86" s="14">
        <f t="shared" si="83"/>
        <v>50000</v>
      </c>
      <c r="L86" s="14">
        <f t="shared" si="83"/>
        <v>50000</v>
      </c>
      <c r="M86" s="14">
        <f t="shared" si="83"/>
        <v>50000</v>
      </c>
      <c r="N86" s="14">
        <f t="shared" si="83"/>
        <v>50000</v>
      </c>
      <c r="O86" s="14">
        <f t="shared" si="83"/>
        <v>50000</v>
      </c>
      <c r="P86" s="14">
        <f t="shared" si="83"/>
        <v>50000</v>
      </c>
      <c r="Q86" s="14">
        <f t="shared" si="83"/>
        <v>50000</v>
      </c>
      <c r="R86" s="14">
        <f t="shared" si="83"/>
        <v>50000</v>
      </c>
      <c r="S86" s="14">
        <f t="shared" si="83"/>
        <v>50000</v>
      </c>
      <c r="T86" s="14">
        <f t="shared" si="83"/>
        <v>50000</v>
      </c>
      <c r="U86" s="14">
        <f t="shared" si="83"/>
        <v>50000</v>
      </c>
      <c r="V86" s="14">
        <f t="shared" si="83"/>
        <v>50000</v>
      </c>
      <c r="W86" s="14">
        <f t="shared" si="83"/>
        <v>50000</v>
      </c>
      <c r="X86" s="14">
        <f t="shared" si="83"/>
        <v>50000</v>
      </c>
      <c r="Y86" s="14">
        <f t="shared" si="83"/>
        <v>50000</v>
      </c>
    </row>
    <row r="87" spans="1:25" x14ac:dyDescent="0.5">
      <c r="A87" s="14" t="s">
        <v>163</v>
      </c>
      <c r="F87" s="14">
        <f>F85-E85</f>
        <v>0</v>
      </c>
      <c r="G87" s="14">
        <f t="shared" ref="G87:Y87" si="84">G85-F85</f>
        <v>0</v>
      </c>
      <c r="H87" s="14">
        <f t="shared" si="84"/>
        <v>0</v>
      </c>
      <c r="I87" s="14">
        <f t="shared" si="84"/>
        <v>0</v>
      </c>
      <c r="J87" s="14">
        <f t="shared" si="84"/>
        <v>0</v>
      </c>
      <c r="K87" s="14">
        <f t="shared" si="84"/>
        <v>0</v>
      </c>
      <c r="L87" s="14">
        <f t="shared" si="84"/>
        <v>0</v>
      </c>
      <c r="M87" s="14">
        <f t="shared" si="84"/>
        <v>3</v>
      </c>
      <c r="N87" s="14">
        <f t="shared" si="84"/>
        <v>0</v>
      </c>
      <c r="O87" s="14">
        <f t="shared" si="84"/>
        <v>0</v>
      </c>
      <c r="P87" s="14">
        <f t="shared" si="84"/>
        <v>0</v>
      </c>
      <c r="Q87" s="14">
        <f t="shared" si="84"/>
        <v>0</v>
      </c>
      <c r="R87" s="14">
        <f t="shared" si="84"/>
        <v>0</v>
      </c>
      <c r="S87" s="14">
        <f t="shared" si="84"/>
        <v>0</v>
      </c>
      <c r="T87" s="14">
        <f t="shared" si="84"/>
        <v>0</v>
      </c>
      <c r="U87" s="14">
        <f t="shared" si="84"/>
        <v>0</v>
      </c>
      <c r="V87" s="14">
        <f t="shared" si="84"/>
        <v>0</v>
      </c>
      <c r="W87" s="14">
        <f t="shared" si="84"/>
        <v>0</v>
      </c>
      <c r="X87" s="14">
        <f t="shared" si="84"/>
        <v>0</v>
      </c>
      <c r="Y87" s="14">
        <f t="shared" si="84"/>
        <v>0</v>
      </c>
    </row>
    <row r="88" spans="1:25" x14ac:dyDescent="0.5">
      <c r="A88" s="14" t="s">
        <v>330</v>
      </c>
      <c r="F88" s="14">
        <f>F85*F86/4</f>
        <v>0</v>
      </c>
      <c r="G88" s="14">
        <f t="shared" ref="G88:Y88" si="85">G85*G86/4</f>
        <v>0</v>
      </c>
      <c r="H88" s="14">
        <f t="shared" si="85"/>
        <v>0</v>
      </c>
      <c r="I88" s="14">
        <f t="shared" si="85"/>
        <v>0</v>
      </c>
      <c r="J88" s="14">
        <f t="shared" si="85"/>
        <v>0</v>
      </c>
      <c r="K88" s="14">
        <f t="shared" si="85"/>
        <v>0</v>
      </c>
      <c r="L88" s="14">
        <f t="shared" si="85"/>
        <v>0</v>
      </c>
      <c r="M88" s="14">
        <f t="shared" si="85"/>
        <v>37500</v>
      </c>
      <c r="N88" s="14">
        <f t="shared" si="85"/>
        <v>37500</v>
      </c>
      <c r="O88" s="14">
        <f t="shared" si="85"/>
        <v>37500</v>
      </c>
      <c r="P88" s="14">
        <f t="shared" si="85"/>
        <v>37500</v>
      </c>
      <c r="Q88" s="14">
        <f t="shared" si="85"/>
        <v>37500</v>
      </c>
      <c r="R88" s="14">
        <f t="shared" si="85"/>
        <v>37500</v>
      </c>
      <c r="S88" s="14">
        <f t="shared" si="85"/>
        <v>37500</v>
      </c>
      <c r="T88" s="14">
        <f t="shared" si="85"/>
        <v>37500</v>
      </c>
      <c r="U88" s="14">
        <f t="shared" si="85"/>
        <v>37500</v>
      </c>
      <c r="V88" s="14">
        <f t="shared" si="85"/>
        <v>37500</v>
      </c>
      <c r="W88" s="14">
        <f t="shared" si="85"/>
        <v>37500</v>
      </c>
      <c r="X88" s="14">
        <f t="shared" si="85"/>
        <v>37500</v>
      </c>
      <c r="Y88" s="14">
        <f t="shared" si="85"/>
        <v>37500</v>
      </c>
    </row>
    <row r="89" spans="1:25" x14ac:dyDescent="0.5">
      <c r="A89" s="14" t="s">
        <v>171</v>
      </c>
      <c r="F89" s="14">
        <f>F87*F86*18%</f>
        <v>0</v>
      </c>
      <c r="G89" s="14">
        <f t="shared" ref="G89:Y89" si="86">G87*G86*18%</f>
        <v>0</v>
      </c>
      <c r="H89" s="14">
        <f t="shared" si="86"/>
        <v>0</v>
      </c>
      <c r="I89" s="14">
        <f t="shared" si="86"/>
        <v>0</v>
      </c>
      <c r="J89" s="14">
        <f t="shared" si="86"/>
        <v>0</v>
      </c>
      <c r="K89" s="14">
        <f t="shared" si="86"/>
        <v>0</v>
      </c>
      <c r="L89" s="14">
        <f t="shared" si="86"/>
        <v>0</v>
      </c>
      <c r="M89" s="14">
        <f t="shared" si="86"/>
        <v>27000</v>
      </c>
      <c r="N89" s="14">
        <f t="shared" si="86"/>
        <v>0</v>
      </c>
      <c r="O89" s="14">
        <f t="shared" si="86"/>
        <v>0</v>
      </c>
      <c r="P89" s="14">
        <f t="shared" si="86"/>
        <v>0</v>
      </c>
      <c r="Q89" s="14">
        <f t="shared" si="86"/>
        <v>0</v>
      </c>
      <c r="R89" s="14">
        <f t="shared" si="86"/>
        <v>0</v>
      </c>
      <c r="S89" s="14">
        <f t="shared" si="86"/>
        <v>0</v>
      </c>
      <c r="T89" s="14">
        <f t="shared" si="86"/>
        <v>0</v>
      </c>
      <c r="U89" s="14">
        <f t="shared" si="86"/>
        <v>0</v>
      </c>
      <c r="V89" s="14">
        <f t="shared" si="86"/>
        <v>0</v>
      </c>
      <c r="W89" s="14">
        <f t="shared" si="86"/>
        <v>0</v>
      </c>
      <c r="X89" s="14">
        <f t="shared" si="86"/>
        <v>0</v>
      </c>
      <c r="Y89" s="14">
        <f t="shared" si="86"/>
        <v>0</v>
      </c>
    </row>
    <row r="91" spans="1:25" x14ac:dyDescent="0.5">
      <c r="A91" s="31"/>
    </row>
    <row r="92" spans="1:25" x14ac:dyDescent="0.5">
      <c r="A92" s="31" t="s">
        <v>186</v>
      </c>
    </row>
    <row r="93" spans="1:25" ht="10.75" x14ac:dyDescent="0.55000000000000004">
      <c r="A93" s="39" t="s">
        <v>187</v>
      </c>
    </row>
    <row r="94" spans="1:25" x14ac:dyDescent="0.5">
      <c r="A94" s="14" t="s">
        <v>18</v>
      </c>
      <c r="F94" s="14">
        <f t="shared" ref="F94:Y94" si="87">F16</f>
        <v>2</v>
      </c>
      <c r="G94" s="14">
        <f t="shared" si="87"/>
        <v>2</v>
      </c>
      <c r="H94" s="14">
        <f t="shared" si="87"/>
        <v>2</v>
      </c>
      <c r="I94" s="14">
        <f t="shared" si="87"/>
        <v>3</v>
      </c>
      <c r="J94" s="14">
        <f t="shared" si="87"/>
        <v>3</v>
      </c>
      <c r="K94" s="14">
        <f t="shared" si="87"/>
        <v>4</v>
      </c>
      <c r="L94" s="14">
        <f t="shared" si="87"/>
        <v>4</v>
      </c>
      <c r="M94" s="14">
        <f t="shared" si="87"/>
        <v>8</v>
      </c>
      <c r="N94" s="14">
        <f t="shared" si="87"/>
        <v>12</v>
      </c>
      <c r="O94" s="14">
        <f t="shared" si="87"/>
        <v>16</v>
      </c>
      <c r="P94" s="14">
        <f t="shared" si="87"/>
        <v>21</v>
      </c>
      <c r="Q94" s="14">
        <f t="shared" si="87"/>
        <v>26</v>
      </c>
      <c r="R94" s="14">
        <f t="shared" si="87"/>
        <v>32</v>
      </c>
      <c r="S94" s="14">
        <f t="shared" si="87"/>
        <v>38</v>
      </c>
      <c r="T94" s="14">
        <f t="shared" si="87"/>
        <v>46</v>
      </c>
      <c r="U94" s="14">
        <f t="shared" si="87"/>
        <v>54</v>
      </c>
      <c r="V94" s="14">
        <f t="shared" si="87"/>
        <v>64</v>
      </c>
      <c r="W94" s="14">
        <f t="shared" si="87"/>
        <v>76</v>
      </c>
      <c r="X94" s="14">
        <f t="shared" si="87"/>
        <v>91</v>
      </c>
      <c r="Y94" s="14">
        <f t="shared" si="87"/>
        <v>108</v>
      </c>
    </row>
    <row r="95" spans="1:25" x14ac:dyDescent="0.5">
      <c r="A95" s="14" t="s">
        <v>331</v>
      </c>
      <c r="F95" s="14">
        <f t="shared" ref="F95:Y95" si="88">F33</f>
        <v>3</v>
      </c>
      <c r="G95" s="14">
        <f t="shared" si="88"/>
        <v>3</v>
      </c>
      <c r="H95" s="14">
        <f t="shared" si="88"/>
        <v>4</v>
      </c>
      <c r="I95" s="14">
        <f t="shared" si="88"/>
        <v>5</v>
      </c>
      <c r="J95" s="14">
        <f t="shared" si="88"/>
        <v>6</v>
      </c>
      <c r="K95" s="14">
        <f t="shared" si="88"/>
        <v>7</v>
      </c>
      <c r="L95" s="14">
        <f t="shared" si="88"/>
        <v>8</v>
      </c>
      <c r="M95" s="14">
        <f t="shared" si="88"/>
        <v>16</v>
      </c>
      <c r="N95" s="14">
        <f t="shared" si="88"/>
        <v>24</v>
      </c>
      <c r="O95" s="14">
        <f t="shared" si="88"/>
        <v>32</v>
      </c>
      <c r="P95" s="14">
        <f t="shared" si="88"/>
        <v>41</v>
      </c>
      <c r="Q95" s="14">
        <f t="shared" si="88"/>
        <v>52</v>
      </c>
      <c r="R95" s="14">
        <f t="shared" si="88"/>
        <v>63</v>
      </c>
      <c r="S95" s="14">
        <f t="shared" si="88"/>
        <v>76</v>
      </c>
      <c r="T95" s="14">
        <f t="shared" si="88"/>
        <v>91</v>
      </c>
      <c r="U95" s="14">
        <f t="shared" si="88"/>
        <v>108</v>
      </c>
      <c r="V95" s="14">
        <f t="shared" si="88"/>
        <v>128</v>
      </c>
      <c r="W95" s="14">
        <f t="shared" si="88"/>
        <v>152</v>
      </c>
      <c r="X95" s="14">
        <f t="shared" si="88"/>
        <v>181</v>
      </c>
      <c r="Y95" s="14">
        <f t="shared" si="88"/>
        <v>215</v>
      </c>
    </row>
    <row r="96" spans="1:25" x14ac:dyDescent="0.5">
      <c r="A96" s="14" t="s">
        <v>332</v>
      </c>
      <c r="F96" s="14">
        <f t="shared" ref="F96:Y96" si="89">F38</f>
        <v>1</v>
      </c>
      <c r="G96" s="14">
        <f t="shared" si="89"/>
        <v>1</v>
      </c>
      <c r="H96" s="14">
        <f t="shared" si="89"/>
        <v>1</v>
      </c>
      <c r="I96" s="14">
        <f t="shared" si="89"/>
        <v>2</v>
      </c>
      <c r="J96" s="14">
        <f t="shared" si="89"/>
        <v>2</v>
      </c>
      <c r="K96" s="14">
        <f t="shared" si="89"/>
        <v>3</v>
      </c>
      <c r="L96" s="14">
        <f t="shared" si="89"/>
        <v>3</v>
      </c>
      <c r="M96" s="14">
        <f t="shared" si="89"/>
        <v>4</v>
      </c>
      <c r="N96" s="14">
        <f t="shared" si="89"/>
        <v>4</v>
      </c>
      <c r="O96" s="14">
        <f t="shared" si="89"/>
        <v>5</v>
      </c>
      <c r="P96" s="14">
        <f t="shared" si="89"/>
        <v>15</v>
      </c>
      <c r="Q96" s="14">
        <f t="shared" si="89"/>
        <v>24</v>
      </c>
      <c r="R96" s="14">
        <f t="shared" si="89"/>
        <v>34</v>
      </c>
      <c r="S96" s="14">
        <f t="shared" si="89"/>
        <v>45</v>
      </c>
      <c r="T96" s="14">
        <f t="shared" si="89"/>
        <v>56</v>
      </c>
      <c r="U96" s="14">
        <f t="shared" si="89"/>
        <v>67</v>
      </c>
      <c r="V96" s="14">
        <f t="shared" si="89"/>
        <v>80</v>
      </c>
      <c r="W96" s="14">
        <f t="shared" si="89"/>
        <v>94</v>
      </c>
      <c r="X96" s="14">
        <f t="shared" si="89"/>
        <v>109</v>
      </c>
      <c r="Y96" s="14">
        <f t="shared" si="89"/>
        <v>126</v>
      </c>
    </row>
    <row r="97" spans="1:25" x14ac:dyDescent="0.5">
      <c r="A97" s="14" t="s">
        <v>188</v>
      </c>
      <c r="F97" s="14">
        <f t="shared" ref="F97:Y97" si="90">F53</f>
        <v>2</v>
      </c>
      <c r="G97" s="14">
        <f t="shared" si="90"/>
        <v>2</v>
      </c>
      <c r="H97" s="14">
        <f t="shared" si="90"/>
        <v>2</v>
      </c>
      <c r="I97" s="14">
        <f t="shared" si="90"/>
        <v>2</v>
      </c>
      <c r="J97" s="14">
        <f t="shared" si="90"/>
        <v>2</v>
      </c>
      <c r="K97" s="14">
        <f t="shared" si="90"/>
        <v>3</v>
      </c>
      <c r="L97" s="14">
        <f t="shared" si="90"/>
        <v>3</v>
      </c>
      <c r="M97" s="14">
        <f t="shared" si="90"/>
        <v>5</v>
      </c>
      <c r="N97" s="14">
        <f t="shared" si="90"/>
        <v>7</v>
      </c>
      <c r="O97" s="14">
        <f t="shared" si="90"/>
        <v>9</v>
      </c>
      <c r="P97" s="14">
        <f t="shared" si="90"/>
        <v>14</v>
      </c>
      <c r="Q97" s="14">
        <f t="shared" si="90"/>
        <v>19</v>
      </c>
      <c r="R97" s="14">
        <f t="shared" si="90"/>
        <v>24</v>
      </c>
      <c r="S97" s="14">
        <f t="shared" si="90"/>
        <v>30</v>
      </c>
      <c r="T97" s="14">
        <f t="shared" si="90"/>
        <v>37</v>
      </c>
      <c r="U97" s="14">
        <f t="shared" si="90"/>
        <v>44</v>
      </c>
      <c r="V97" s="14">
        <f t="shared" si="90"/>
        <v>52</v>
      </c>
      <c r="W97" s="14">
        <f t="shared" si="90"/>
        <v>62</v>
      </c>
      <c r="X97" s="14">
        <f t="shared" si="90"/>
        <v>73</v>
      </c>
      <c r="Y97" s="14">
        <f t="shared" si="90"/>
        <v>85</v>
      </c>
    </row>
    <row r="98" spans="1:25" x14ac:dyDescent="0.5">
      <c r="A98" s="14" t="s">
        <v>189</v>
      </c>
      <c r="F98" s="14">
        <f t="shared" ref="F98:Y98" si="91">F63</f>
        <v>0</v>
      </c>
      <c r="G98" s="14">
        <f t="shared" si="91"/>
        <v>0</v>
      </c>
      <c r="H98" s="14">
        <f t="shared" si="91"/>
        <v>0</v>
      </c>
      <c r="I98" s="14">
        <f t="shared" si="91"/>
        <v>0</v>
      </c>
      <c r="J98" s="14">
        <f t="shared" si="91"/>
        <v>0</v>
      </c>
      <c r="K98" s="14">
        <f t="shared" si="91"/>
        <v>0</v>
      </c>
      <c r="L98" s="14">
        <f t="shared" si="91"/>
        <v>0</v>
      </c>
      <c r="M98" s="14">
        <f t="shared" si="91"/>
        <v>0</v>
      </c>
      <c r="N98" s="14">
        <f t="shared" si="91"/>
        <v>0</v>
      </c>
      <c r="O98" s="14">
        <f t="shared" si="91"/>
        <v>0</v>
      </c>
      <c r="P98" s="14">
        <f t="shared" si="91"/>
        <v>0</v>
      </c>
      <c r="Q98" s="14">
        <f t="shared" si="91"/>
        <v>0</v>
      </c>
      <c r="R98" s="14">
        <f t="shared" si="91"/>
        <v>0</v>
      </c>
      <c r="S98" s="14">
        <f t="shared" si="91"/>
        <v>0</v>
      </c>
      <c r="T98" s="14">
        <f t="shared" si="91"/>
        <v>0</v>
      </c>
      <c r="U98" s="14">
        <f t="shared" si="91"/>
        <v>0</v>
      </c>
      <c r="V98" s="14">
        <f t="shared" si="91"/>
        <v>0</v>
      </c>
      <c r="W98" s="14">
        <f t="shared" si="91"/>
        <v>0</v>
      </c>
      <c r="X98" s="14">
        <f t="shared" si="91"/>
        <v>0</v>
      </c>
      <c r="Y98" s="14">
        <f t="shared" si="91"/>
        <v>0</v>
      </c>
    </row>
    <row r="99" spans="1:25" x14ac:dyDescent="0.5">
      <c r="A99" s="14" t="s">
        <v>173</v>
      </c>
      <c r="F99" s="14">
        <f t="shared" ref="F99:Y99" si="92">F72</f>
        <v>4</v>
      </c>
      <c r="G99" s="14">
        <f t="shared" si="92"/>
        <v>3</v>
      </c>
      <c r="H99" s="14">
        <f t="shared" si="92"/>
        <v>3</v>
      </c>
      <c r="I99" s="14">
        <f t="shared" si="92"/>
        <v>3</v>
      </c>
      <c r="J99" s="14">
        <f t="shared" si="92"/>
        <v>3</v>
      </c>
      <c r="K99" s="14">
        <f t="shared" si="92"/>
        <v>3</v>
      </c>
      <c r="L99" s="14">
        <f t="shared" si="92"/>
        <v>3</v>
      </c>
      <c r="M99" s="14">
        <f t="shared" si="92"/>
        <v>3</v>
      </c>
      <c r="N99" s="14">
        <f t="shared" si="92"/>
        <v>3</v>
      </c>
      <c r="O99" s="14">
        <f t="shared" si="92"/>
        <v>4</v>
      </c>
      <c r="P99" s="14">
        <f t="shared" si="92"/>
        <v>6</v>
      </c>
      <c r="Q99" s="14">
        <f t="shared" si="92"/>
        <v>8</v>
      </c>
      <c r="R99" s="14">
        <f t="shared" si="92"/>
        <v>10</v>
      </c>
      <c r="S99" s="14">
        <f t="shared" si="92"/>
        <v>13</v>
      </c>
      <c r="T99" s="14">
        <f t="shared" si="92"/>
        <v>15</v>
      </c>
      <c r="U99" s="14">
        <f t="shared" si="92"/>
        <v>18</v>
      </c>
      <c r="V99" s="14">
        <f t="shared" si="92"/>
        <v>22</v>
      </c>
      <c r="W99" s="14">
        <f t="shared" si="92"/>
        <v>26</v>
      </c>
      <c r="X99" s="14">
        <f t="shared" si="92"/>
        <v>30</v>
      </c>
      <c r="Y99" s="14">
        <f t="shared" si="92"/>
        <v>36</v>
      </c>
    </row>
    <row r="100" spans="1:25" x14ac:dyDescent="0.5">
      <c r="A100" s="14" t="s">
        <v>333</v>
      </c>
      <c r="F100" s="14">
        <f>F79</f>
        <v>0</v>
      </c>
      <c r="G100" s="14">
        <f t="shared" ref="G100:Y100" si="93">G79</f>
        <v>0</v>
      </c>
      <c r="H100" s="14">
        <f t="shared" si="93"/>
        <v>0</v>
      </c>
      <c r="I100" s="14">
        <f t="shared" si="93"/>
        <v>0</v>
      </c>
      <c r="J100" s="14">
        <f t="shared" si="93"/>
        <v>0</v>
      </c>
      <c r="K100" s="14">
        <f t="shared" si="93"/>
        <v>0</v>
      </c>
      <c r="L100" s="14">
        <f t="shared" si="93"/>
        <v>0</v>
      </c>
      <c r="M100" s="14">
        <f t="shared" si="93"/>
        <v>7</v>
      </c>
      <c r="N100" s="14">
        <f t="shared" si="93"/>
        <v>14</v>
      </c>
      <c r="O100" s="14">
        <f t="shared" si="93"/>
        <v>20</v>
      </c>
      <c r="P100" s="14">
        <f t="shared" si="93"/>
        <v>27</v>
      </c>
      <c r="Q100" s="14">
        <f t="shared" si="93"/>
        <v>34</v>
      </c>
      <c r="R100" s="14">
        <f t="shared" si="93"/>
        <v>41</v>
      </c>
      <c r="S100" s="14">
        <f t="shared" si="93"/>
        <v>47</v>
      </c>
      <c r="T100" s="14">
        <f t="shared" si="93"/>
        <v>54</v>
      </c>
      <c r="U100" s="14">
        <f t="shared" si="93"/>
        <v>61</v>
      </c>
      <c r="V100" s="14">
        <f t="shared" si="93"/>
        <v>68</v>
      </c>
      <c r="W100" s="14">
        <f t="shared" si="93"/>
        <v>74</v>
      </c>
      <c r="X100" s="14">
        <f t="shared" si="93"/>
        <v>81</v>
      </c>
      <c r="Y100" s="14">
        <f t="shared" si="93"/>
        <v>88</v>
      </c>
    </row>
    <row r="101" spans="1:25" x14ac:dyDescent="0.5">
      <c r="A101" s="14" t="s">
        <v>334</v>
      </c>
      <c r="F101" s="14">
        <f>F85</f>
        <v>0</v>
      </c>
      <c r="G101" s="14">
        <f t="shared" ref="G101:Y101" si="94">G85</f>
        <v>0</v>
      </c>
      <c r="H101" s="14">
        <f t="shared" si="94"/>
        <v>0</v>
      </c>
      <c r="I101" s="14">
        <f t="shared" si="94"/>
        <v>0</v>
      </c>
      <c r="J101" s="14">
        <f t="shared" si="94"/>
        <v>0</v>
      </c>
      <c r="K101" s="14">
        <f t="shared" si="94"/>
        <v>0</v>
      </c>
      <c r="L101" s="14">
        <f t="shared" si="94"/>
        <v>0</v>
      </c>
      <c r="M101" s="14">
        <f t="shared" si="94"/>
        <v>3</v>
      </c>
      <c r="N101" s="14">
        <f t="shared" si="94"/>
        <v>3</v>
      </c>
      <c r="O101" s="14">
        <f t="shared" si="94"/>
        <v>3</v>
      </c>
      <c r="P101" s="14">
        <f t="shared" si="94"/>
        <v>3</v>
      </c>
      <c r="Q101" s="14">
        <f t="shared" si="94"/>
        <v>3</v>
      </c>
      <c r="R101" s="14">
        <f t="shared" si="94"/>
        <v>3</v>
      </c>
      <c r="S101" s="14">
        <f t="shared" si="94"/>
        <v>3</v>
      </c>
      <c r="T101" s="14">
        <f t="shared" si="94"/>
        <v>3</v>
      </c>
      <c r="U101" s="14">
        <f t="shared" si="94"/>
        <v>3</v>
      </c>
      <c r="V101" s="14">
        <f t="shared" si="94"/>
        <v>3</v>
      </c>
      <c r="W101" s="14">
        <f t="shared" si="94"/>
        <v>3</v>
      </c>
      <c r="X101" s="14">
        <f t="shared" si="94"/>
        <v>3</v>
      </c>
      <c r="Y101" s="14">
        <f t="shared" si="94"/>
        <v>3</v>
      </c>
    </row>
    <row r="102" spans="1:25" x14ac:dyDescent="0.5">
      <c r="A102" s="37" t="s">
        <v>179</v>
      </c>
      <c r="B102" s="38"/>
      <c r="C102" s="38"/>
      <c r="D102" s="38"/>
      <c r="E102" s="67">
        <v>10</v>
      </c>
      <c r="F102" s="37">
        <f>SUM(F94:F101)</f>
        <v>12</v>
      </c>
      <c r="G102" s="37">
        <f t="shared" ref="G102:Y102" si="95">SUM(G94:G101)</f>
        <v>11</v>
      </c>
      <c r="H102" s="37">
        <f t="shared" si="95"/>
        <v>12</v>
      </c>
      <c r="I102" s="37">
        <f t="shared" si="95"/>
        <v>15</v>
      </c>
      <c r="J102" s="37">
        <f t="shared" si="95"/>
        <v>16</v>
      </c>
      <c r="K102" s="37">
        <f t="shared" si="95"/>
        <v>20</v>
      </c>
      <c r="L102" s="37">
        <f t="shared" si="95"/>
        <v>21</v>
      </c>
      <c r="M102" s="37">
        <f t="shared" si="95"/>
        <v>46</v>
      </c>
      <c r="N102" s="37">
        <f t="shared" si="95"/>
        <v>67</v>
      </c>
      <c r="O102" s="37">
        <f t="shared" si="95"/>
        <v>89</v>
      </c>
      <c r="P102" s="37">
        <f t="shared" si="95"/>
        <v>127</v>
      </c>
      <c r="Q102" s="37">
        <f t="shared" si="95"/>
        <v>166</v>
      </c>
      <c r="R102" s="37">
        <f t="shared" si="95"/>
        <v>207</v>
      </c>
      <c r="S102" s="37">
        <f t="shared" si="95"/>
        <v>252</v>
      </c>
      <c r="T102" s="37">
        <f t="shared" si="95"/>
        <v>302</v>
      </c>
      <c r="U102" s="37">
        <f t="shared" si="95"/>
        <v>355</v>
      </c>
      <c r="V102" s="37">
        <f t="shared" si="95"/>
        <v>417</v>
      </c>
      <c r="W102" s="37">
        <f t="shared" si="95"/>
        <v>487</v>
      </c>
      <c r="X102" s="37">
        <f t="shared" si="95"/>
        <v>568</v>
      </c>
      <c r="Y102" s="37">
        <f t="shared" si="95"/>
        <v>661</v>
      </c>
    </row>
    <row r="104" spans="1:25" ht="10.75" x14ac:dyDescent="0.55000000000000004">
      <c r="A104" s="39" t="s">
        <v>28</v>
      </c>
    </row>
    <row r="105" spans="1:25" x14ac:dyDescent="0.5">
      <c r="A105" s="14" t="s">
        <v>18</v>
      </c>
      <c r="F105" s="14">
        <f t="shared" ref="F105:Y105" si="96">F24</f>
        <v>17500</v>
      </c>
      <c r="G105" s="14">
        <f t="shared" si="96"/>
        <v>17500</v>
      </c>
      <c r="H105" s="14">
        <f t="shared" si="96"/>
        <v>17500</v>
      </c>
      <c r="I105" s="14">
        <f t="shared" si="96"/>
        <v>26250</v>
      </c>
      <c r="J105" s="14">
        <f t="shared" si="96"/>
        <v>26250</v>
      </c>
      <c r="K105" s="14">
        <f t="shared" si="96"/>
        <v>35000</v>
      </c>
      <c r="L105" s="14">
        <f t="shared" si="96"/>
        <v>35000</v>
      </c>
      <c r="M105" s="14">
        <f t="shared" si="96"/>
        <v>70000</v>
      </c>
      <c r="N105" s="14">
        <f t="shared" si="96"/>
        <v>105000</v>
      </c>
      <c r="O105" s="14">
        <f t="shared" si="96"/>
        <v>140000</v>
      </c>
      <c r="P105" s="14">
        <f t="shared" si="96"/>
        <v>183750</v>
      </c>
      <c r="Q105" s="14">
        <f t="shared" si="96"/>
        <v>227500</v>
      </c>
      <c r="R105" s="14">
        <f t="shared" si="96"/>
        <v>280000</v>
      </c>
      <c r="S105" s="14">
        <f t="shared" si="96"/>
        <v>332500</v>
      </c>
      <c r="T105" s="14">
        <f t="shared" si="96"/>
        <v>402500</v>
      </c>
      <c r="U105" s="14">
        <f t="shared" si="96"/>
        <v>472500</v>
      </c>
      <c r="V105" s="14">
        <f t="shared" si="96"/>
        <v>560000</v>
      </c>
      <c r="W105" s="14">
        <f t="shared" si="96"/>
        <v>665000</v>
      </c>
      <c r="X105" s="14">
        <f t="shared" si="96"/>
        <v>796250</v>
      </c>
      <c r="Y105" s="14">
        <f t="shared" si="96"/>
        <v>945000</v>
      </c>
    </row>
    <row r="106" spans="1:25" x14ac:dyDescent="0.5">
      <c r="A106" s="14" t="s">
        <v>331</v>
      </c>
      <c r="F106" s="14">
        <f t="shared" ref="F106:Y106" si="97">F44</f>
        <v>26250</v>
      </c>
      <c r="G106" s="14">
        <f t="shared" si="97"/>
        <v>26250</v>
      </c>
      <c r="H106" s="14">
        <f t="shared" si="97"/>
        <v>35000</v>
      </c>
      <c r="I106" s="14">
        <f t="shared" si="97"/>
        <v>43750</v>
      </c>
      <c r="J106" s="14">
        <f t="shared" si="97"/>
        <v>52500</v>
      </c>
      <c r="K106" s="14">
        <f t="shared" si="97"/>
        <v>61250</v>
      </c>
      <c r="L106" s="14">
        <f t="shared" si="97"/>
        <v>70000</v>
      </c>
      <c r="M106" s="14">
        <f t="shared" si="97"/>
        <v>140000</v>
      </c>
      <c r="N106" s="14">
        <f t="shared" si="97"/>
        <v>210000</v>
      </c>
      <c r="O106" s="14">
        <f t="shared" si="97"/>
        <v>280000</v>
      </c>
      <c r="P106" s="14">
        <f t="shared" si="97"/>
        <v>358750</v>
      </c>
      <c r="Q106" s="14">
        <f t="shared" si="97"/>
        <v>455000</v>
      </c>
      <c r="R106" s="14">
        <f t="shared" si="97"/>
        <v>551250</v>
      </c>
      <c r="S106" s="14">
        <f t="shared" si="97"/>
        <v>665000</v>
      </c>
      <c r="T106" s="14">
        <f t="shared" si="97"/>
        <v>796250</v>
      </c>
      <c r="U106" s="14">
        <f t="shared" si="97"/>
        <v>945000</v>
      </c>
      <c r="V106" s="14">
        <f t="shared" si="97"/>
        <v>1120000</v>
      </c>
      <c r="W106" s="14">
        <f t="shared" si="97"/>
        <v>1330000</v>
      </c>
      <c r="X106" s="14">
        <f t="shared" si="97"/>
        <v>1583750</v>
      </c>
      <c r="Y106" s="14">
        <f t="shared" si="97"/>
        <v>1881250</v>
      </c>
    </row>
    <row r="107" spans="1:25" x14ac:dyDescent="0.5">
      <c r="A107" s="14" t="s">
        <v>332</v>
      </c>
      <c r="F107" s="14">
        <f t="shared" ref="F107:Y107" si="98">F45</f>
        <v>8750</v>
      </c>
      <c r="G107" s="14">
        <f t="shared" si="98"/>
        <v>8750</v>
      </c>
      <c r="H107" s="14">
        <f t="shared" si="98"/>
        <v>8750</v>
      </c>
      <c r="I107" s="14">
        <f t="shared" si="98"/>
        <v>17500</v>
      </c>
      <c r="J107" s="14">
        <f t="shared" si="98"/>
        <v>17500</v>
      </c>
      <c r="K107" s="14">
        <f t="shared" si="98"/>
        <v>26250</v>
      </c>
      <c r="L107" s="14">
        <f t="shared" si="98"/>
        <v>26250</v>
      </c>
      <c r="M107" s="14">
        <f t="shared" si="98"/>
        <v>35000</v>
      </c>
      <c r="N107" s="14">
        <f t="shared" si="98"/>
        <v>35000</v>
      </c>
      <c r="O107" s="14">
        <f t="shared" si="98"/>
        <v>43750</v>
      </c>
      <c r="P107" s="14">
        <f t="shared" si="98"/>
        <v>131250</v>
      </c>
      <c r="Q107" s="14">
        <f t="shared" si="98"/>
        <v>210000</v>
      </c>
      <c r="R107" s="14">
        <f t="shared" si="98"/>
        <v>297500</v>
      </c>
      <c r="S107" s="14">
        <f t="shared" si="98"/>
        <v>393750</v>
      </c>
      <c r="T107" s="14">
        <f t="shared" si="98"/>
        <v>490000</v>
      </c>
      <c r="U107" s="14">
        <f t="shared" si="98"/>
        <v>586250</v>
      </c>
      <c r="V107" s="14">
        <f t="shared" si="98"/>
        <v>700000</v>
      </c>
      <c r="W107" s="14">
        <f t="shared" si="98"/>
        <v>822500</v>
      </c>
      <c r="X107" s="14">
        <f t="shared" si="98"/>
        <v>953750</v>
      </c>
      <c r="Y107" s="14">
        <f t="shared" si="98"/>
        <v>1102500</v>
      </c>
    </row>
    <row r="108" spans="1:25" x14ac:dyDescent="0.5">
      <c r="A108" s="14" t="s">
        <v>188</v>
      </c>
      <c r="F108" s="14">
        <f t="shared" ref="F108:Y108" si="99">F56</f>
        <v>12500</v>
      </c>
      <c r="G108" s="14">
        <f t="shared" si="99"/>
        <v>12500</v>
      </c>
      <c r="H108" s="14">
        <f t="shared" si="99"/>
        <v>12500</v>
      </c>
      <c r="I108" s="14">
        <f t="shared" si="99"/>
        <v>12500</v>
      </c>
      <c r="J108" s="14">
        <f t="shared" si="99"/>
        <v>12500</v>
      </c>
      <c r="K108" s="14">
        <f t="shared" si="99"/>
        <v>18750</v>
      </c>
      <c r="L108" s="14">
        <f t="shared" si="99"/>
        <v>18750</v>
      </c>
      <c r="M108" s="14">
        <f t="shared" si="99"/>
        <v>31250</v>
      </c>
      <c r="N108" s="14">
        <f t="shared" si="99"/>
        <v>43750</v>
      </c>
      <c r="O108" s="14">
        <f t="shared" si="99"/>
        <v>56250</v>
      </c>
      <c r="P108" s="14">
        <f t="shared" si="99"/>
        <v>87500</v>
      </c>
      <c r="Q108" s="14">
        <f t="shared" si="99"/>
        <v>118750</v>
      </c>
      <c r="R108" s="14">
        <f t="shared" si="99"/>
        <v>150000</v>
      </c>
      <c r="S108" s="14">
        <f t="shared" si="99"/>
        <v>187500</v>
      </c>
      <c r="T108" s="14">
        <f t="shared" si="99"/>
        <v>231250</v>
      </c>
      <c r="U108" s="14">
        <f t="shared" si="99"/>
        <v>275000</v>
      </c>
      <c r="V108" s="14">
        <f t="shared" si="99"/>
        <v>325000</v>
      </c>
      <c r="W108" s="14">
        <f t="shared" si="99"/>
        <v>387500</v>
      </c>
      <c r="X108" s="14">
        <f t="shared" si="99"/>
        <v>456250</v>
      </c>
      <c r="Y108" s="14">
        <f t="shared" si="99"/>
        <v>531250</v>
      </c>
    </row>
    <row r="109" spans="1:25" x14ac:dyDescent="0.5">
      <c r="A109" s="14" t="s">
        <v>189</v>
      </c>
      <c r="F109" s="14">
        <f t="shared" ref="F109:Y109" si="100">F66</f>
        <v>0</v>
      </c>
      <c r="G109" s="14">
        <f t="shared" si="100"/>
        <v>0</v>
      </c>
      <c r="H109" s="14">
        <f t="shared" si="100"/>
        <v>0</v>
      </c>
      <c r="I109" s="14">
        <f t="shared" si="100"/>
        <v>0</v>
      </c>
      <c r="J109" s="14">
        <f t="shared" si="100"/>
        <v>0</v>
      </c>
      <c r="K109" s="14">
        <f t="shared" si="100"/>
        <v>0</v>
      </c>
      <c r="L109" s="14">
        <f t="shared" si="100"/>
        <v>0</v>
      </c>
      <c r="M109" s="14">
        <f t="shared" si="100"/>
        <v>0</v>
      </c>
      <c r="N109" s="14">
        <f t="shared" si="100"/>
        <v>0</v>
      </c>
      <c r="O109" s="14">
        <f t="shared" si="100"/>
        <v>0</v>
      </c>
      <c r="P109" s="14">
        <f t="shared" si="100"/>
        <v>0</v>
      </c>
      <c r="Q109" s="14">
        <f t="shared" si="100"/>
        <v>0</v>
      </c>
      <c r="R109" s="14">
        <f t="shared" si="100"/>
        <v>0</v>
      </c>
      <c r="S109" s="14">
        <f t="shared" si="100"/>
        <v>0</v>
      </c>
      <c r="T109" s="14">
        <f t="shared" si="100"/>
        <v>0</v>
      </c>
      <c r="U109" s="14">
        <f t="shared" si="100"/>
        <v>0</v>
      </c>
      <c r="V109" s="14">
        <f t="shared" si="100"/>
        <v>0</v>
      </c>
      <c r="W109" s="14">
        <f t="shared" si="100"/>
        <v>0</v>
      </c>
      <c r="X109" s="14">
        <f t="shared" si="100"/>
        <v>0</v>
      </c>
      <c r="Y109" s="14">
        <f t="shared" si="100"/>
        <v>0</v>
      </c>
    </row>
    <row r="110" spans="1:25" x14ac:dyDescent="0.5">
      <c r="A110" s="14" t="s">
        <v>173</v>
      </c>
      <c r="F110" s="14">
        <f t="shared" ref="F110:Y110" si="101">F75</f>
        <v>100000</v>
      </c>
      <c r="G110" s="14">
        <f t="shared" si="101"/>
        <v>75000</v>
      </c>
      <c r="H110" s="14">
        <f t="shared" si="101"/>
        <v>75000</v>
      </c>
      <c r="I110" s="14">
        <f t="shared" si="101"/>
        <v>75000</v>
      </c>
      <c r="J110" s="14">
        <f t="shared" si="101"/>
        <v>75000</v>
      </c>
      <c r="K110" s="14">
        <f t="shared" si="101"/>
        <v>75000</v>
      </c>
      <c r="L110" s="14">
        <f t="shared" si="101"/>
        <v>75000</v>
      </c>
      <c r="M110" s="14">
        <f t="shared" si="101"/>
        <v>75000</v>
      </c>
      <c r="N110" s="14">
        <f t="shared" si="101"/>
        <v>75000</v>
      </c>
      <c r="O110" s="14">
        <f t="shared" si="101"/>
        <v>100000</v>
      </c>
      <c r="P110" s="14">
        <f t="shared" si="101"/>
        <v>150000</v>
      </c>
      <c r="Q110" s="14">
        <f t="shared" si="101"/>
        <v>200000</v>
      </c>
      <c r="R110" s="14">
        <f t="shared" si="101"/>
        <v>250000</v>
      </c>
      <c r="S110" s="14">
        <f t="shared" si="101"/>
        <v>325000</v>
      </c>
      <c r="T110" s="14">
        <f t="shared" si="101"/>
        <v>375000</v>
      </c>
      <c r="U110" s="14">
        <f t="shared" si="101"/>
        <v>450000</v>
      </c>
      <c r="V110" s="14">
        <f t="shared" si="101"/>
        <v>550000</v>
      </c>
      <c r="W110" s="14">
        <f t="shared" si="101"/>
        <v>650000</v>
      </c>
      <c r="X110" s="14">
        <f t="shared" si="101"/>
        <v>750000</v>
      </c>
      <c r="Y110" s="14">
        <f t="shared" si="101"/>
        <v>900000</v>
      </c>
    </row>
    <row r="111" spans="1:25" x14ac:dyDescent="0.5">
      <c r="A111" s="14" t="s">
        <v>333</v>
      </c>
      <c r="F111" s="14">
        <f>F82</f>
        <v>0</v>
      </c>
      <c r="G111" s="14">
        <f t="shared" ref="G111:Y111" si="102">G82</f>
        <v>0</v>
      </c>
      <c r="H111" s="14">
        <f t="shared" si="102"/>
        <v>0</v>
      </c>
      <c r="I111" s="14">
        <f t="shared" si="102"/>
        <v>0</v>
      </c>
      <c r="J111" s="14">
        <f t="shared" si="102"/>
        <v>0</v>
      </c>
      <c r="K111" s="14">
        <f t="shared" si="102"/>
        <v>0</v>
      </c>
      <c r="L111" s="14">
        <f t="shared" si="102"/>
        <v>0</v>
      </c>
      <c r="M111" s="14">
        <f t="shared" si="102"/>
        <v>43750</v>
      </c>
      <c r="N111" s="14">
        <f t="shared" si="102"/>
        <v>87500</v>
      </c>
      <c r="O111" s="14">
        <f t="shared" si="102"/>
        <v>125000</v>
      </c>
      <c r="P111" s="14">
        <f t="shared" si="102"/>
        <v>168750</v>
      </c>
      <c r="Q111" s="14">
        <f t="shared" si="102"/>
        <v>212500</v>
      </c>
      <c r="R111" s="14">
        <f t="shared" si="102"/>
        <v>256250</v>
      </c>
      <c r="S111" s="14">
        <f t="shared" si="102"/>
        <v>293750</v>
      </c>
      <c r="T111" s="14">
        <f t="shared" si="102"/>
        <v>337500</v>
      </c>
      <c r="U111" s="14">
        <f t="shared" si="102"/>
        <v>381250</v>
      </c>
      <c r="V111" s="14">
        <f t="shared" si="102"/>
        <v>425000</v>
      </c>
      <c r="W111" s="14">
        <f t="shared" si="102"/>
        <v>462500</v>
      </c>
      <c r="X111" s="14">
        <f t="shared" si="102"/>
        <v>506250</v>
      </c>
      <c r="Y111" s="14">
        <f t="shared" si="102"/>
        <v>550000</v>
      </c>
    </row>
    <row r="112" spans="1:25" x14ac:dyDescent="0.5">
      <c r="A112" s="14" t="s">
        <v>334</v>
      </c>
      <c r="F112" s="14">
        <f>F88</f>
        <v>0</v>
      </c>
      <c r="G112" s="14">
        <f t="shared" ref="G112:Y112" si="103">G88</f>
        <v>0</v>
      </c>
      <c r="H112" s="14">
        <f t="shared" si="103"/>
        <v>0</v>
      </c>
      <c r="I112" s="14">
        <f t="shared" si="103"/>
        <v>0</v>
      </c>
      <c r="J112" s="14">
        <f t="shared" si="103"/>
        <v>0</v>
      </c>
      <c r="K112" s="14">
        <f t="shared" si="103"/>
        <v>0</v>
      </c>
      <c r="L112" s="14">
        <f t="shared" si="103"/>
        <v>0</v>
      </c>
      <c r="M112" s="14">
        <f t="shared" si="103"/>
        <v>37500</v>
      </c>
      <c r="N112" s="14">
        <f t="shared" si="103"/>
        <v>37500</v>
      </c>
      <c r="O112" s="14">
        <f t="shared" si="103"/>
        <v>37500</v>
      </c>
      <c r="P112" s="14">
        <f t="shared" si="103"/>
        <v>37500</v>
      </c>
      <c r="Q112" s="14">
        <f t="shared" si="103"/>
        <v>37500</v>
      </c>
      <c r="R112" s="14">
        <f t="shared" si="103"/>
        <v>37500</v>
      </c>
      <c r="S112" s="14">
        <f t="shared" si="103"/>
        <v>37500</v>
      </c>
      <c r="T112" s="14">
        <f t="shared" si="103"/>
        <v>37500</v>
      </c>
      <c r="U112" s="14">
        <f t="shared" si="103"/>
        <v>37500</v>
      </c>
      <c r="V112" s="14">
        <f t="shared" si="103"/>
        <v>37500</v>
      </c>
      <c r="W112" s="14">
        <f t="shared" si="103"/>
        <v>37500</v>
      </c>
      <c r="X112" s="14">
        <f t="shared" si="103"/>
        <v>37500</v>
      </c>
      <c r="Y112" s="14">
        <f t="shared" si="103"/>
        <v>37500</v>
      </c>
    </row>
    <row r="113" spans="1:25" x14ac:dyDescent="0.5">
      <c r="A113" s="14" t="s">
        <v>169</v>
      </c>
      <c r="F113" s="14">
        <f t="shared" ref="F113:Y113" si="104">F25+F46</f>
        <v>10873.127710843375</v>
      </c>
      <c r="G113" s="14">
        <f t="shared" si="104"/>
        <v>17998.152212389385</v>
      </c>
      <c r="H113" s="14">
        <f t="shared" si="104"/>
        <v>13116.17142857143</v>
      </c>
      <c r="I113" s="14">
        <f t="shared" si="104"/>
        <v>21480</v>
      </c>
      <c r="J113" s="14">
        <f t="shared" si="104"/>
        <v>28920</v>
      </c>
      <c r="K113" s="14">
        <f t="shared" si="104"/>
        <v>32640</v>
      </c>
      <c r="L113" s="14">
        <f t="shared" si="104"/>
        <v>48360</v>
      </c>
      <c r="M113" s="14">
        <f t="shared" si="104"/>
        <v>60600</v>
      </c>
      <c r="N113" s="14">
        <f t="shared" si="104"/>
        <v>75600</v>
      </c>
      <c r="O113" s="14">
        <f t="shared" si="104"/>
        <v>94320</v>
      </c>
      <c r="P113" s="14">
        <f t="shared" si="104"/>
        <v>259080</v>
      </c>
      <c r="Q113" s="14">
        <f t="shared" si="104"/>
        <v>413520</v>
      </c>
      <c r="R113" s="14">
        <f t="shared" si="104"/>
        <v>576600</v>
      </c>
      <c r="S113" s="14">
        <f t="shared" si="104"/>
        <v>750600</v>
      </c>
      <c r="T113" s="14">
        <f t="shared" si="104"/>
        <v>938040</v>
      </c>
      <c r="U113" s="14">
        <f t="shared" si="104"/>
        <v>1143000</v>
      </c>
      <c r="V113" s="14">
        <f t="shared" si="104"/>
        <v>1368720</v>
      </c>
      <c r="W113" s="14">
        <f t="shared" si="104"/>
        <v>1621320</v>
      </c>
      <c r="X113" s="14">
        <f t="shared" si="104"/>
        <v>1906920</v>
      </c>
      <c r="Y113" s="14">
        <f t="shared" si="104"/>
        <v>2234400</v>
      </c>
    </row>
    <row r="114" spans="1:25" x14ac:dyDescent="0.5">
      <c r="A114" s="37" t="s">
        <v>191</v>
      </c>
      <c r="B114" s="38"/>
      <c r="C114" s="38"/>
      <c r="D114" s="38"/>
      <c r="E114" s="38"/>
      <c r="F114" s="37">
        <f>SUM(F105:F113)</f>
        <v>175873.12771084337</v>
      </c>
      <c r="G114" s="37">
        <f t="shared" ref="G114:Y114" si="105">SUM(G105:G113)</f>
        <v>157998.1522123894</v>
      </c>
      <c r="H114" s="37">
        <f t="shared" si="105"/>
        <v>161866.17142857143</v>
      </c>
      <c r="I114" s="37">
        <f t="shared" si="105"/>
        <v>196480</v>
      </c>
      <c r="J114" s="37">
        <f t="shared" si="105"/>
        <v>212670</v>
      </c>
      <c r="K114" s="37">
        <f t="shared" si="105"/>
        <v>248890</v>
      </c>
      <c r="L114" s="37">
        <f t="shared" si="105"/>
        <v>273360</v>
      </c>
      <c r="M114" s="37">
        <f t="shared" si="105"/>
        <v>493100</v>
      </c>
      <c r="N114" s="37">
        <f t="shared" si="105"/>
        <v>669350</v>
      </c>
      <c r="O114" s="37">
        <f t="shared" si="105"/>
        <v>876820</v>
      </c>
      <c r="P114" s="37">
        <f t="shared" si="105"/>
        <v>1376580</v>
      </c>
      <c r="Q114" s="37">
        <f t="shared" si="105"/>
        <v>1874770</v>
      </c>
      <c r="R114" s="37">
        <f t="shared" si="105"/>
        <v>2399100</v>
      </c>
      <c r="S114" s="37">
        <f t="shared" si="105"/>
        <v>2985600</v>
      </c>
      <c r="T114" s="37">
        <f t="shared" si="105"/>
        <v>3608040</v>
      </c>
      <c r="U114" s="37">
        <f t="shared" si="105"/>
        <v>4290500</v>
      </c>
      <c r="V114" s="37">
        <f t="shared" si="105"/>
        <v>5086220</v>
      </c>
      <c r="W114" s="37">
        <f t="shared" si="105"/>
        <v>5976320</v>
      </c>
      <c r="X114" s="37">
        <f t="shared" si="105"/>
        <v>6990670</v>
      </c>
      <c r="Y114" s="37">
        <f t="shared" si="105"/>
        <v>8181900</v>
      </c>
    </row>
    <row r="116" spans="1:25" ht="10.75" x14ac:dyDescent="0.55000000000000004">
      <c r="A116" s="39" t="s">
        <v>190</v>
      </c>
    </row>
    <row r="117" spans="1:25" x14ac:dyDescent="0.5">
      <c r="A117" s="14" t="s">
        <v>18</v>
      </c>
      <c r="F117" s="14">
        <f t="shared" ref="F117:Y117" si="106">F26</f>
        <v>6300</v>
      </c>
      <c r="G117" s="14">
        <f t="shared" si="106"/>
        <v>0</v>
      </c>
      <c r="H117" s="14">
        <f t="shared" si="106"/>
        <v>0</v>
      </c>
      <c r="I117" s="14">
        <f t="shared" si="106"/>
        <v>6300</v>
      </c>
      <c r="J117" s="14">
        <f t="shared" si="106"/>
        <v>0</v>
      </c>
      <c r="K117" s="14">
        <f t="shared" si="106"/>
        <v>6300</v>
      </c>
      <c r="L117" s="14">
        <f t="shared" si="106"/>
        <v>0</v>
      </c>
      <c r="M117" s="14">
        <f t="shared" si="106"/>
        <v>12600</v>
      </c>
      <c r="N117" s="14">
        <f t="shared" si="106"/>
        <v>25200</v>
      </c>
      <c r="O117" s="14">
        <f t="shared" si="106"/>
        <v>25200</v>
      </c>
      <c r="P117" s="14">
        <f t="shared" si="106"/>
        <v>31500</v>
      </c>
      <c r="Q117" s="14">
        <f t="shared" si="106"/>
        <v>31500</v>
      </c>
      <c r="R117" s="14">
        <f t="shared" si="106"/>
        <v>37800</v>
      </c>
      <c r="S117" s="14">
        <f t="shared" si="106"/>
        <v>37800</v>
      </c>
      <c r="T117" s="14">
        <f t="shared" si="106"/>
        <v>50400</v>
      </c>
      <c r="U117" s="14">
        <f t="shared" si="106"/>
        <v>50400</v>
      </c>
      <c r="V117" s="14">
        <f t="shared" si="106"/>
        <v>63000</v>
      </c>
      <c r="W117" s="14">
        <f t="shared" si="106"/>
        <v>75600</v>
      </c>
      <c r="X117" s="14">
        <f t="shared" si="106"/>
        <v>94500</v>
      </c>
      <c r="Y117" s="14">
        <f t="shared" si="106"/>
        <v>107100</v>
      </c>
    </row>
    <row r="118" spans="1:25" x14ac:dyDescent="0.5">
      <c r="A118" s="14" t="s">
        <v>313</v>
      </c>
      <c r="F118" s="14">
        <f t="shared" ref="F118:Y118" si="107">F47</f>
        <v>12600</v>
      </c>
      <c r="G118" s="14">
        <f t="shared" si="107"/>
        <v>0</v>
      </c>
      <c r="H118" s="14">
        <f t="shared" si="107"/>
        <v>6300</v>
      </c>
      <c r="I118" s="14">
        <f t="shared" si="107"/>
        <v>12600</v>
      </c>
      <c r="J118" s="14">
        <f t="shared" si="107"/>
        <v>6300</v>
      </c>
      <c r="K118" s="14">
        <f t="shared" si="107"/>
        <v>12600</v>
      </c>
      <c r="L118" s="14">
        <f t="shared" si="107"/>
        <v>6300</v>
      </c>
      <c r="M118" s="14">
        <f t="shared" si="107"/>
        <v>56700</v>
      </c>
      <c r="N118" s="14">
        <f t="shared" si="107"/>
        <v>50400</v>
      </c>
      <c r="O118" s="14">
        <f t="shared" si="107"/>
        <v>56700</v>
      </c>
      <c r="P118" s="14">
        <f t="shared" si="107"/>
        <v>119699.99999999999</v>
      </c>
      <c r="Q118" s="14">
        <f t="shared" si="107"/>
        <v>126000</v>
      </c>
      <c r="R118" s="14">
        <f t="shared" si="107"/>
        <v>132300</v>
      </c>
      <c r="S118" s="14">
        <f t="shared" si="107"/>
        <v>151200</v>
      </c>
      <c r="T118" s="14">
        <f t="shared" si="107"/>
        <v>163800</v>
      </c>
      <c r="U118" s="14">
        <f t="shared" si="107"/>
        <v>176400</v>
      </c>
      <c r="V118" s="14">
        <f t="shared" si="107"/>
        <v>207900</v>
      </c>
      <c r="W118" s="14">
        <f t="shared" si="107"/>
        <v>239400</v>
      </c>
      <c r="X118" s="14">
        <f t="shared" si="107"/>
        <v>277200</v>
      </c>
      <c r="Y118" s="14">
        <f t="shared" si="107"/>
        <v>321300</v>
      </c>
    </row>
    <row r="119" spans="1:25" x14ac:dyDescent="0.5">
      <c r="A119" s="14" t="s">
        <v>188</v>
      </c>
      <c r="F119" s="14">
        <f t="shared" ref="F119:Y119" si="108">F57</f>
        <v>0</v>
      </c>
      <c r="G119" s="14">
        <f t="shared" si="108"/>
        <v>0</v>
      </c>
      <c r="H119" s="14">
        <f t="shared" si="108"/>
        <v>0</v>
      </c>
      <c r="I119" s="14">
        <f t="shared" si="108"/>
        <v>0</v>
      </c>
      <c r="J119" s="14">
        <f t="shared" si="108"/>
        <v>0</v>
      </c>
      <c r="K119" s="14">
        <f t="shared" si="108"/>
        <v>4500</v>
      </c>
      <c r="L119" s="14">
        <f t="shared" si="108"/>
        <v>0</v>
      </c>
      <c r="M119" s="14">
        <f t="shared" si="108"/>
        <v>9000</v>
      </c>
      <c r="N119" s="14">
        <f t="shared" si="108"/>
        <v>9000</v>
      </c>
      <c r="O119" s="14">
        <f t="shared" si="108"/>
        <v>9000</v>
      </c>
      <c r="P119" s="14">
        <f t="shared" si="108"/>
        <v>22499.999999999996</v>
      </c>
      <c r="Q119" s="14">
        <f t="shared" si="108"/>
        <v>22499.999999999996</v>
      </c>
      <c r="R119" s="14">
        <f t="shared" si="108"/>
        <v>22499.999999999996</v>
      </c>
      <c r="S119" s="14">
        <f t="shared" si="108"/>
        <v>27000</v>
      </c>
      <c r="T119" s="14">
        <f t="shared" si="108"/>
        <v>31500</v>
      </c>
      <c r="U119" s="14">
        <f t="shared" si="108"/>
        <v>31500</v>
      </c>
      <c r="V119" s="14">
        <f t="shared" si="108"/>
        <v>36000</v>
      </c>
      <c r="W119" s="14">
        <f t="shared" si="108"/>
        <v>44999.999999999993</v>
      </c>
      <c r="X119" s="14">
        <f t="shared" si="108"/>
        <v>49500</v>
      </c>
      <c r="Y119" s="14">
        <f t="shared" si="108"/>
        <v>54000</v>
      </c>
    </row>
    <row r="120" spans="1:25" x14ac:dyDescent="0.5">
      <c r="A120" s="14" t="s">
        <v>189</v>
      </c>
      <c r="F120" s="14">
        <f t="shared" ref="F120:Y120" si="109">F67</f>
        <v>0</v>
      </c>
      <c r="G120" s="14">
        <f t="shared" si="109"/>
        <v>0</v>
      </c>
      <c r="H120" s="14">
        <f t="shared" si="109"/>
        <v>0</v>
      </c>
      <c r="I120" s="14">
        <f t="shared" si="109"/>
        <v>0</v>
      </c>
      <c r="J120" s="14">
        <f t="shared" si="109"/>
        <v>0</v>
      </c>
      <c r="K120" s="14">
        <f t="shared" si="109"/>
        <v>0</v>
      </c>
      <c r="L120" s="14">
        <f t="shared" si="109"/>
        <v>0</v>
      </c>
      <c r="M120" s="14">
        <f t="shared" si="109"/>
        <v>0</v>
      </c>
      <c r="N120" s="14">
        <f t="shared" si="109"/>
        <v>0</v>
      </c>
      <c r="O120" s="14">
        <f t="shared" si="109"/>
        <v>0</v>
      </c>
      <c r="P120" s="14">
        <f t="shared" si="109"/>
        <v>0</v>
      </c>
      <c r="Q120" s="14">
        <f t="shared" si="109"/>
        <v>0</v>
      </c>
      <c r="R120" s="14">
        <f t="shared" si="109"/>
        <v>0</v>
      </c>
      <c r="S120" s="14">
        <f t="shared" si="109"/>
        <v>0</v>
      </c>
      <c r="T120" s="14">
        <f t="shared" si="109"/>
        <v>0</v>
      </c>
      <c r="U120" s="14">
        <f t="shared" si="109"/>
        <v>0</v>
      </c>
      <c r="V120" s="14">
        <f t="shared" si="109"/>
        <v>0</v>
      </c>
      <c r="W120" s="14">
        <f t="shared" si="109"/>
        <v>0</v>
      </c>
      <c r="X120" s="14">
        <f t="shared" si="109"/>
        <v>0</v>
      </c>
      <c r="Y120" s="14">
        <f t="shared" si="109"/>
        <v>0</v>
      </c>
    </row>
    <row r="121" spans="1:25" x14ac:dyDescent="0.5">
      <c r="A121" s="14" t="s">
        <v>173</v>
      </c>
      <c r="F121" s="14">
        <f t="shared" ref="F121:Y121" si="110">F76</f>
        <v>0</v>
      </c>
      <c r="G121" s="14">
        <f t="shared" si="110"/>
        <v>0</v>
      </c>
      <c r="H121" s="14">
        <f t="shared" si="110"/>
        <v>0</v>
      </c>
      <c r="I121" s="14">
        <f t="shared" si="110"/>
        <v>0</v>
      </c>
      <c r="J121" s="14">
        <f t="shared" si="110"/>
        <v>0</v>
      </c>
      <c r="K121" s="14">
        <f t="shared" si="110"/>
        <v>0</v>
      </c>
      <c r="L121" s="14">
        <f t="shared" si="110"/>
        <v>0</v>
      </c>
      <c r="M121" s="14">
        <f t="shared" si="110"/>
        <v>0</v>
      </c>
      <c r="N121" s="14">
        <f t="shared" si="110"/>
        <v>0</v>
      </c>
      <c r="O121" s="14">
        <f t="shared" si="110"/>
        <v>18000</v>
      </c>
      <c r="P121" s="14">
        <f t="shared" si="110"/>
        <v>36000</v>
      </c>
      <c r="Q121" s="14">
        <f t="shared" si="110"/>
        <v>36000</v>
      </c>
      <c r="R121" s="14">
        <f t="shared" si="110"/>
        <v>36000</v>
      </c>
      <c r="S121" s="14">
        <f t="shared" si="110"/>
        <v>54000</v>
      </c>
      <c r="T121" s="14">
        <f t="shared" si="110"/>
        <v>36000</v>
      </c>
      <c r="U121" s="14">
        <f t="shared" si="110"/>
        <v>54000</v>
      </c>
      <c r="V121" s="14">
        <f t="shared" si="110"/>
        <v>72000</v>
      </c>
      <c r="W121" s="14">
        <f t="shared" si="110"/>
        <v>72000</v>
      </c>
      <c r="X121" s="14">
        <f t="shared" si="110"/>
        <v>72000</v>
      </c>
      <c r="Y121" s="14">
        <f t="shared" si="110"/>
        <v>108000</v>
      </c>
    </row>
    <row r="122" spans="1:25" x14ac:dyDescent="0.5">
      <c r="A122" s="14" t="s">
        <v>333</v>
      </c>
      <c r="F122" s="14">
        <f>F83</f>
        <v>0</v>
      </c>
      <c r="G122" s="14">
        <f t="shared" ref="G122:Y122" si="111">G83</f>
        <v>0</v>
      </c>
      <c r="H122" s="14">
        <f t="shared" si="111"/>
        <v>0</v>
      </c>
      <c r="I122" s="14">
        <f t="shared" si="111"/>
        <v>0</v>
      </c>
      <c r="J122" s="14">
        <f t="shared" si="111"/>
        <v>0</v>
      </c>
      <c r="K122" s="14">
        <f t="shared" si="111"/>
        <v>0</v>
      </c>
      <c r="L122" s="14">
        <f t="shared" si="111"/>
        <v>0</v>
      </c>
      <c r="M122" s="14">
        <f t="shared" si="111"/>
        <v>31500</v>
      </c>
      <c r="N122" s="14">
        <f t="shared" si="111"/>
        <v>31500</v>
      </c>
      <c r="O122" s="14">
        <f t="shared" si="111"/>
        <v>27000</v>
      </c>
      <c r="P122" s="14">
        <f t="shared" si="111"/>
        <v>31500</v>
      </c>
      <c r="Q122" s="14">
        <f t="shared" si="111"/>
        <v>31500</v>
      </c>
      <c r="R122" s="14">
        <f t="shared" si="111"/>
        <v>31500</v>
      </c>
      <c r="S122" s="14">
        <f t="shared" si="111"/>
        <v>27000</v>
      </c>
      <c r="T122" s="14">
        <f t="shared" si="111"/>
        <v>31500</v>
      </c>
      <c r="U122" s="14">
        <f t="shared" si="111"/>
        <v>31500</v>
      </c>
      <c r="V122" s="14">
        <f t="shared" si="111"/>
        <v>31500</v>
      </c>
      <c r="W122" s="14">
        <f t="shared" si="111"/>
        <v>27000</v>
      </c>
      <c r="X122" s="14">
        <f t="shared" si="111"/>
        <v>31500</v>
      </c>
      <c r="Y122" s="14">
        <f t="shared" si="111"/>
        <v>31500</v>
      </c>
    </row>
    <row r="123" spans="1:25" x14ac:dyDescent="0.5">
      <c r="A123" s="14" t="s">
        <v>334</v>
      </c>
      <c r="F123" s="14">
        <f>F89</f>
        <v>0</v>
      </c>
      <c r="G123" s="14">
        <f t="shared" ref="G123:Y123" si="112">G89</f>
        <v>0</v>
      </c>
      <c r="H123" s="14">
        <f t="shared" si="112"/>
        <v>0</v>
      </c>
      <c r="I123" s="14">
        <f t="shared" si="112"/>
        <v>0</v>
      </c>
      <c r="J123" s="14">
        <f t="shared" si="112"/>
        <v>0</v>
      </c>
      <c r="K123" s="14">
        <f t="shared" si="112"/>
        <v>0</v>
      </c>
      <c r="L123" s="14">
        <f t="shared" si="112"/>
        <v>0</v>
      </c>
      <c r="M123" s="14">
        <f t="shared" si="112"/>
        <v>27000</v>
      </c>
      <c r="N123" s="14">
        <f t="shared" si="112"/>
        <v>0</v>
      </c>
      <c r="O123" s="14">
        <f t="shared" si="112"/>
        <v>0</v>
      </c>
      <c r="P123" s="14">
        <f t="shared" si="112"/>
        <v>0</v>
      </c>
      <c r="Q123" s="14">
        <f t="shared" si="112"/>
        <v>0</v>
      </c>
      <c r="R123" s="14">
        <f t="shared" si="112"/>
        <v>0</v>
      </c>
      <c r="S123" s="14">
        <f t="shared" si="112"/>
        <v>0</v>
      </c>
      <c r="T123" s="14">
        <f t="shared" si="112"/>
        <v>0</v>
      </c>
      <c r="U123" s="14">
        <f t="shared" si="112"/>
        <v>0</v>
      </c>
      <c r="V123" s="14">
        <f t="shared" si="112"/>
        <v>0</v>
      </c>
      <c r="W123" s="14">
        <f t="shared" si="112"/>
        <v>0</v>
      </c>
      <c r="X123" s="14">
        <f t="shared" si="112"/>
        <v>0</v>
      </c>
      <c r="Y123" s="14">
        <f t="shared" si="112"/>
        <v>0</v>
      </c>
    </row>
    <row r="124" spans="1:25" x14ac:dyDescent="0.5">
      <c r="A124" s="37" t="s">
        <v>192</v>
      </c>
      <c r="B124" s="38"/>
      <c r="C124" s="38"/>
      <c r="D124" s="38"/>
      <c r="E124" s="38"/>
      <c r="F124" s="37">
        <f>SUM(F117:F123)</f>
        <v>18900</v>
      </c>
      <c r="G124" s="37">
        <f t="shared" ref="G124:Y124" si="113">SUM(G117:G123)</f>
        <v>0</v>
      </c>
      <c r="H124" s="37">
        <f t="shared" si="113"/>
        <v>6300</v>
      </c>
      <c r="I124" s="37">
        <f t="shared" si="113"/>
        <v>18900</v>
      </c>
      <c r="J124" s="37">
        <f t="shared" si="113"/>
        <v>6300</v>
      </c>
      <c r="K124" s="37">
        <f t="shared" si="113"/>
        <v>23400</v>
      </c>
      <c r="L124" s="37">
        <f t="shared" si="113"/>
        <v>6300</v>
      </c>
      <c r="M124" s="37">
        <f t="shared" si="113"/>
        <v>136800</v>
      </c>
      <c r="N124" s="37">
        <f t="shared" si="113"/>
        <v>116100</v>
      </c>
      <c r="O124" s="37">
        <f t="shared" si="113"/>
        <v>135900</v>
      </c>
      <c r="P124" s="37">
        <f t="shared" si="113"/>
        <v>241200</v>
      </c>
      <c r="Q124" s="37">
        <f t="shared" si="113"/>
        <v>247500</v>
      </c>
      <c r="R124" s="37">
        <f t="shared" si="113"/>
        <v>260100</v>
      </c>
      <c r="S124" s="37">
        <f t="shared" si="113"/>
        <v>297000</v>
      </c>
      <c r="T124" s="37">
        <f t="shared" si="113"/>
        <v>313200</v>
      </c>
      <c r="U124" s="37">
        <f t="shared" si="113"/>
        <v>343800</v>
      </c>
      <c r="V124" s="37">
        <f t="shared" si="113"/>
        <v>410400</v>
      </c>
      <c r="W124" s="37">
        <f t="shared" si="113"/>
        <v>459000</v>
      </c>
      <c r="X124" s="37">
        <f t="shared" si="113"/>
        <v>524700</v>
      </c>
      <c r="Y124" s="37">
        <f t="shared" si="113"/>
        <v>621900</v>
      </c>
    </row>
    <row r="127" spans="1:25" x14ac:dyDescent="0.5">
      <c r="A127" s="31" t="s">
        <v>194</v>
      </c>
    </row>
    <row r="128" spans="1:25" x14ac:dyDescent="0.5">
      <c r="A128" s="14" t="s">
        <v>198</v>
      </c>
      <c r="B128" s="21">
        <f>-'P&amp;L-Q'!O27</f>
        <v>-147327.41</v>
      </c>
      <c r="C128" s="21">
        <f>-'P&amp;L-Q'!P27</f>
        <v>-163550.32</v>
      </c>
      <c r="D128" s="21">
        <f>-'P&amp;L-Q'!Q27</f>
        <v>-154424.03</v>
      </c>
      <c r="E128" s="21">
        <f>-'P&amp;L-Q'!R27</f>
        <v>-136511.01999999999</v>
      </c>
      <c r="F128" s="14">
        <f>-F114</f>
        <v>-175873.12771084337</v>
      </c>
      <c r="G128" s="14">
        <f t="shared" ref="G128:Y128" si="114">-G114</f>
        <v>-157998.1522123894</v>
      </c>
      <c r="H128" s="14">
        <f t="shared" si="114"/>
        <v>-161866.17142857143</v>
      </c>
      <c r="I128" s="14">
        <f t="shared" si="114"/>
        <v>-196480</v>
      </c>
      <c r="J128" s="14">
        <f t="shared" si="114"/>
        <v>-212670</v>
      </c>
      <c r="K128" s="14">
        <f t="shared" si="114"/>
        <v>-248890</v>
      </c>
      <c r="L128" s="14">
        <f t="shared" si="114"/>
        <v>-273360</v>
      </c>
      <c r="M128" s="14">
        <f t="shared" si="114"/>
        <v>-493100</v>
      </c>
      <c r="N128" s="14">
        <f t="shared" si="114"/>
        <v>-669350</v>
      </c>
      <c r="O128" s="14">
        <f t="shared" si="114"/>
        <v>-876820</v>
      </c>
      <c r="P128" s="14">
        <f t="shared" si="114"/>
        <v>-1376580</v>
      </c>
      <c r="Q128" s="14">
        <f t="shared" si="114"/>
        <v>-1874770</v>
      </c>
      <c r="R128" s="14">
        <f t="shared" si="114"/>
        <v>-2399100</v>
      </c>
      <c r="S128" s="14">
        <f t="shared" si="114"/>
        <v>-2985600</v>
      </c>
      <c r="T128" s="14">
        <f t="shared" si="114"/>
        <v>-3608040</v>
      </c>
      <c r="U128" s="14">
        <f t="shared" si="114"/>
        <v>-4290500</v>
      </c>
      <c r="V128" s="14">
        <f t="shared" si="114"/>
        <v>-5086220</v>
      </c>
      <c r="W128" s="14">
        <f t="shared" si="114"/>
        <v>-5976320</v>
      </c>
      <c r="X128" s="14">
        <f t="shared" si="114"/>
        <v>-6990670</v>
      </c>
      <c r="Y128" s="14">
        <f t="shared" si="114"/>
        <v>-8181900</v>
      </c>
    </row>
    <row r="129" spans="1:25" x14ac:dyDescent="0.5">
      <c r="A129" s="14" t="s">
        <v>154</v>
      </c>
      <c r="B129" s="21">
        <f>-'P&amp;L-Q'!O30</f>
        <v>-52239.92</v>
      </c>
      <c r="C129" s="21">
        <f>-'P&amp;L-Q'!P30</f>
        <v>-95322.84</v>
      </c>
      <c r="D129" s="21">
        <f>-'P&amp;L-Q'!Q30</f>
        <v>-68847.240000000005</v>
      </c>
      <c r="E129" s="21">
        <f>-'P&amp;L-Q'!R30</f>
        <v>-77411.03</v>
      </c>
      <c r="F129" s="14">
        <f>F131+F133+F135</f>
        <v>-97864.43981205282</v>
      </c>
      <c r="G129" s="14">
        <f t="shared" ref="G129:Y129" si="115">G131+G133+G135</f>
        <v>-73141.717009560394</v>
      </c>
      <c r="H129" s="14">
        <f t="shared" si="115"/>
        <v>-80701.713348715653</v>
      </c>
      <c r="I129" s="14">
        <f t="shared" si="115"/>
        <v>-104577.07028119665</v>
      </c>
      <c r="J129" s="14">
        <f t="shared" si="115"/>
        <v>-97250.917072231736</v>
      </c>
      <c r="K129" s="14">
        <f t="shared" si="115"/>
        <v>-126149.47981289207</v>
      </c>
      <c r="L129" s="14">
        <f t="shared" si="115"/>
        <v>-117020.51322713718</v>
      </c>
      <c r="M129" s="14">
        <f t="shared" si="115"/>
        <v>-319100.19783875236</v>
      </c>
      <c r="N129" s="14">
        <f t="shared" si="115"/>
        <v>-355813.1377349805</v>
      </c>
      <c r="O129" s="14">
        <f t="shared" si="115"/>
        <v>-443195.9044882881</v>
      </c>
      <c r="P129" s="14">
        <f t="shared" si="115"/>
        <v>-711291.31352397031</v>
      </c>
      <c r="Q129" s="14">
        <f t="shared" si="115"/>
        <v>-879875.29949220805</v>
      </c>
      <c r="R129" s="14">
        <f t="shared" si="115"/>
        <v>-1063274.316659807</v>
      </c>
      <c r="S129" s="14">
        <f t="shared" si="115"/>
        <v>-1291225.0358038512</v>
      </c>
      <c r="T129" s="14">
        <f t="shared" si="115"/>
        <v>-1510183.1084790754</v>
      </c>
      <c r="U129" s="14">
        <f t="shared" si="115"/>
        <v>-1763092.5267008054</v>
      </c>
      <c r="V129" s="14">
        <f t="shared" si="115"/>
        <v>-2088896.0701574101</v>
      </c>
      <c r="W129" s="14">
        <f t="shared" si="115"/>
        <v>-2427443.6321524894</v>
      </c>
      <c r="X129" s="14">
        <f t="shared" si="115"/>
        <v>-2823565.2808545548</v>
      </c>
      <c r="Y129" s="14">
        <f t="shared" si="115"/>
        <v>-3308805.0901741795</v>
      </c>
    </row>
    <row r="131" spans="1:25" x14ac:dyDescent="0.5">
      <c r="A131" s="14" t="s">
        <v>196</v>
      </c>
      <c r="B131" s="24">
        <v>-17527.71</v>
      </c>
      <c r="C131" s="24">
        <v>-17251.07</v>
      </c>
      <c r="D131" s="24">
        <v>-19486.82</v>
      </c>
      <c r="E131" s="24">
        <v>-16537.54</v>
      </c>
      <c r="F131" s="14">
        <f>F128*F132</f>
        <v>-20743.554015552294</v>
      </c>
      <c r="G131" s="14">
        <f t="shared" ref="G131:Y131" si="116">G128*G132</f>
        <v>-18635.269909816267</v>
      </c>
      <c r="H131" s="14">
        <f t="shared" si="116"/>
        <v>-19091.487790219147</v>
      </c>
      <c r="I131" s="14">
        <f t="shared" si="116"/>
        <v>-23174.054763366956</v>
      </c>
      <c r="J131" s="14">
        <f t="shared" si="116"/>
        <v>-25083.602537282422</v>
      </c>
      <c r="K131" s="14">
        <f t="shared" si="116"/>
        <v>-29355.611207524438</v>
      </c>
      <c r="L131" s="14">
        <f t="shared" si="116"/>
        <v>-32241.752901638796</v>
      </c>
      <c r="M131" s="14">
        <f t="shared" si="116"/>
        <v>-58159.234547110369</v>
      </c>
      <c r="N131" s="14">
        <f t="shared" si="116"/>
        <v>-78947.239189025204</v>
      </c>
      <c r="O131" s="14">
        <f t="shared" si="116"/>
        <v>-103417.52187304261</v>
      </c>
      <c r="P131" s="14">
        <f t="shared" si="116"/>
        <v>-162362.2776168347</v>
      </c>
      <c r="Q131" s="14">
        <f t="shared" si="116"/>
        <v>-221121.85794339102</v>
      </c>
      <c r="R131" s="14">
        <f t="shared" si="116"/>
        <v>-282964.54999386024</v>
      </c>
      <c r="S131" s="14">
        <f t="shared" si="116"/>
        <v>-352139.95267461514</v>
      </c>
      <c r="T131" s="14">
        <f t="shared" si="116"/>
        <v>-425554.33911043621</v>
      </c>
      <c r="U131" s="14">
        <f t="shared" si="116"/>
        <v>-506047.85200644302</v>
      </c>
      <c r="V131" s="14">
        <f t="shared" si="116"/>
        <v>-599899.94309106411</v>
      </c>
      <c r="W131" s="14">
        <f t="shared" si="116"/>
        <v>-704883.78951244499</v>
      </c>
      <c r="X131" s="14">
        <f t="shared" si="116"/>
        <v>-824522.4420430907</v>
      </c>
      <c r="Y131" s="14">
        <f t="shared" si="116"/>
        <v>-965023.40527479688</v>
      </c>
    </row>
    <row r="132" spans="1:25" x14ac:dyDescent="0.5">
      <c r="A132" s="14" t="s">
        <v>196</v>
      </c>
      <c r="B132" s="22">
        <f>B131/B128</f>
        <v>0.11897114053657767</v>
      </c>
      <c r="C132" s="22">
        <f t="shared" ref="C132:E132" si="117">C131/C128</f>
        <v>0.10547866858346715</v>
      </c>
      <c r="D132" s="22">
        <f t="shared" si="117"/>
        <v>0.12619033449651587</v>
      </c>
      <c r="E132" s="22">
        <f t="shared" si="117"/>
        <v>0.12114435889498154</v>
      </c>
      <c r="F132" s="18">
        <f>AVERAGE(B132:E132)</f>
        <v>0.11794612562788556</v>
      </c>
      <c r="G132" s="19">
        <f>F132</f>
        <v>0.11794612562788556</v>
      </c>
      <c r="H132" s="19">
        <f t="shared" ref="H132:Y132" si="118">G132</f>
        <v>0.11794612562788556</v>
      </c>
      <c r="I132" s="19">
        <f t="shared" si="118"/>
        <v>0.11794612562788556</v>
      </c>
      <c r="J132" s="19">
        <f t="shared" si="118"/>
        <v>0.11794612562788556</v>
      </c>
      <c r="K132" s="19">
        <f t="shared" si="118"/>
        <v>0.11794612562788556</v>
      </c>
      <c r="L132" s="19">
        <f t="shared" si="118"/>
        <v>0.11794612562788556</v>
      </c>
      <c r="M132" s="19">
        <f t="shared" si="118"/>
        <v>0.11794612562788556</v>
      </c>
      <c r="N132" s="19">
        <f t="shared" si="118"/>
        <v>0.11794612562788556</v>
      </c>
      <c r="O132" s="19">
        <f t="shared" si="118"/>
        <v>0.11794612562788556</v>
      </c>
      <c r="P132" s="19">
        <f t="shared" si="118"/>
        <v>0.11794612562788556</v>
      </c>
      <c r="Q132" s="19">
        <f t="shared" si="118"/>
        <v>0.11794612562788556</v>
      </c>
      <c r="R132" s="19">
        <f t="shared" si="118"/>
        <v>0.11794612562788556</v>
      </c>
      <c r="S132" s="19">
        <f t="shared" si="118"/>
        <v>0.11794612562788556</v>
      </c>
      <c r="T132" s="19">
        <f t="shared" si="118"/>
        <v>0.11794612562788556</v>
      </c>
      <c r="U132" s="19">
        <f t="shared" si="118"/>
        <v>0.11794612562788556</v>
      </c>
      <c r="V132" s="19">
        <f t="shared" si="118"/>
        <v>0.11794612562788556</v>
      </c>
      <c r="W132" s="19">
        <f t="shared" si="118"/>
        <v>0.11794612562788556</v>
      </c>
      <c r="X132" s="19">
        <f t="shared" si="118"/>
        <v>0.11794612562788556</v>
      </c>
      <c r="Y132" s="19">
        <f t="shared" si="118"/>
        <v>0.11794612562788556</v>
      </c>
    </row>
    <row r="133" spans="1:25" x14ac:dyDescent="0.5">
      <c r="A133" s="14" t="s">
        <v>195</v>
      </c>
      <c r="B133" s="24">
        <v>0</v>
      </c>
      <c r="C133" s="24">
        <v>0</v>
      </c>
      <c r="D133" s="24">
        <v>-6300</v>
      </c>
      <c r="E133" s="24">
        <v>-6010</v>
      </c>
      <c r="F133" s="14">
        <f>-F124</f>
        <v>-18900</v>
      </c>
      <c r="G133" s="14">
        <f t="shared" ref="G133:Y133" si="119">-G124</f>
        <v>0</v>
      </c>
      <c r="H133" s="14">
        <f t="shared" si="119"/>
        <v>-6300</v>
      </c>
      <c r="I133" s="14">
        <f t="shared" si="119"/>
        <v>-18900</v>
      </c>
      <c r="J133" s="14">
        <f t="shared" si="119"/>
        <v>-6300</v>
      </c>
      <c r="K133" s="14">
        <f t="shared" si="119"/>
        <v>-23400</v>
      </c>
      <c r="L133" s="14">
        <f t="shared" si="119"/>
        <v>-6300</v>
      </c>
      <c r="M133" s="14">
        <f t="shared" si="119"/>
        <v>-136800</v>
      </c>
      <c r="N133" s="14">
        <f t="shared" si="119"/>
        <v>-116100</v>
      </c>
      <c r="O133" s="14">
        <f t="shared" si="119"/>
        <v>-135900</v>
      </c>
      <c r="P133" s="14">
        <f t="shared" si="119"/>
        <v>-241200</v>
      </c>
      <c r="Q133" s="14">
        <f t="shared" si="119"/>
        <v>-247500</v>
      </c>
      <c r="R133" s="14">
        <f t="shared" si="119"/>
        <v>-260100</v>
      </c>
      <c r="S133" s="14">
        <f t="shared" si="119"/>
        <v>-297000</v>
      </c>
      <c r="T133" s="14">
        <f t="shared" si="119"/>
        <v>-313200</v>
      </c>
      <c r="U133" s="14">
        <f t="shared" si="119"/>
        <v>-343800</v>
      </c>
      <c r="V133" s="14">
        <f t="shared" si="119"/>
        <v>-410400</v>
      </c>
      <c r="W133" s="14">
        <f t="shared" si="119"/>
        <v>-459000</v>
      </c>
      <c r="X133" s="14">
        <f t="shared" si="119"/>
        <v>-524700</v>
      </c>
      <c r="Y133" s="14">
        <f t="shared" si="119"/>
        <v>-621900</v>
      </c>
    </row>
    <row r="134" spans="1:25" x14ac:dyDescent="0.5">
      <c r="B134" s="24"/>
      <c r="C134" s="24"/>
      <c r="D134" s="24"/>
      <c r="E134" s="24"/>
    </row>
    <row r="135" spans="1:25" x14ac:dyDescent="0.5">
      <c r="A135" s="14" t="s">
        <v>197</v>
      </c>
      <c r="B135" s="23">
        <f>B129-B131-B133</f>
        <v>-34712.21</v>
      </c>
      <c r="C135" s="23">
        <f t="shared" ref="C135:E135" si="120">C129-C131-C133</f>
        <v>-78071.76999999999</v>
      </c>
      <c r="D135" s="23">
        <f t="shared" si="120"/>
        <v>-43060.420000000006</v>
      </c>
      <c r="E135" s="23">
        <f t="shared" si="120"/>
        <v>-54863.49</v>
      </c>
      <c r="F135" s="14">
        <f>SUM(F137:F138)</f>
        <v>-58220.885796500523</v>
      </c>
      <c r="G135" s="14">
        <f t="shared" ref="G135:Y135" si="121">SUM(G137:G138)</f>
        <v>-54506.447099744131</v>
      </c>
      <c r="H135" s="14">
        <f t="shared" si="121"/>
        <v>-55310.22555849651</v>
      </c>
      <c r="I135" s="14">
        <f t="shared" si="121"/>
        <v>-62503.015517829692</v>
      </c>
      <c r="J135" s="14">
        <f t="shared" si="121"/>
        <v>-65867.314534949313</v>
      </c>
      <c r="K135" s="14">
        <f t="shared" si="121"/>
        <v>-73393.868605367636</v>
      </c>
      <c r="L135" s="14">
        <f t="shared" si="121"/>
        <v>-78478.760325498384</v>
      </c>
      <c r="M135" s="14">
        <f t="shared" si="121"/>
        <v>-124140.96329164199</v>
      </c>
      <c r="N135" s="14">
        <f t="shared" si="121"/>
        <v>-160765.89854595531</v>
      </c>
      <c r="O135" s="14">
        <f t="shared" si="121"/>
        <v>-203878.38261524547</v>
      </c>
      <c r="P135" s="14">
        <f t="shared" si="121"/>
        <v>-307729.03590713558</v>
      </c>
      <c r="Q135" s="14">
        <f t="shared" si="121"/>
        <v>-411253.44154881703</v>
      </c>
      <c r="R135" s="14">
        <f t="shared" si="121"/>
        <v>-520209.76666594669</v>
      </c>
      <c r="S135" s="14">
        <f t="shared" si="121"/>
        <v>-642085.08312923613</v>
      </c>
      <c r="T135" s="14">
        <f t="shared" si="121"/>
        <v>-771428.76936863922</v>
      </c>
      <c r="U135" s="14">
        <f t="shared" si="121"/>
        <v>-913244.67469436221</v>
      </c>
      <c r="V135" s="14">
        <f t="shared" si="121"/>
        <v>-1078596.1270663461</v>
      </c>
      <c r="W135" s="14">
        <f t="shared" si="121"/>
        <v>-1263559.8426400444</v>
      </c>
      <c r="X135" s="14">
        <f t="shared" si="121"/>
        <v>-1474342.8388114641</v>
      </c>
      <c r="Y135" s="14">
        <f t="shared" si="121"/>
        <v>-1721881.6848993828</v>
      </c>
    </row>
    <row r="136" spans="1:25" x14ac:dyDescent="0.5">
      <c r="A136" s="14" t="s">
        <v>199</v>
      </c>
      <c r="B136" s="25">
        <v>0.72717150535791297</v>
      </c>
      <c r="C136" s="25">
        <v>0.4228130091068768</v>
      </c>
      <c r="D136" s="25">
        <v>0.64699368933233825</v>
      </c>
      <c r="E136" s="25">
        <v>0.69079673932518681</v>
      </c>
      <c r="F136" s="18">
        <f>AVERAGE(B136:E136)</f>
        <v>0.62194373578057871</v>
      </c>
      <c r="G136" s="19">
        <f>F136</f>
        <v>0.62194373578057871</v>
      </c>
      <c r="H136" s="19">
        <f t="shared" ref="H136:Y136" si="122">G136</f>
        <v>0.62194373578057871</v>
      </c>
      <c r="I136" s="19">
        <f t="shared" si="122"/>
        <v>0.62194373578057871</v>
      </c>
      <c r="J136" s="19">
        <f t="shared" si="122"/>
        <v>0.62194373578057871</v>
      </c>
      <c r="K136" s="19">
        <f t="shared" si="122"/>
        <v>0.62194373578057871</v>
      </c>
      <c r="L136" s="19">
        <f t="shared" si="122"/>
        <v>0.62194373578057871</v>
      </c>
      <c r="M136" s="19">
        <f t="shared" si="122"/>
        <v>0.62194373578057871</v>
      </c>
      <c r="N136" s="19">
        <f t="shared" si="122"/>
        <v>0.62194373578057871</v>
      </c>
      <c r="O136" s="19">
        <f t="shared" si="122"/>
        <v>0.62194373578057871</v>
      </c>
      <c r="P136" s="19">
        <f t="shared" si="122"/>
        <v>0.62194373578057871</v>
      </c>
      <c r="Q136" s="19">
        <f t="shared" si="122"/>
        <v>0.62194373578057871</v>
      </c>
      <c r="R136" s="19">
        <f t="shared" si="122"/>
        <v>0.62194373578057871</v>
      </c>
      <c r="S136" s="19">
        <f t="shared" si="122"/>
        <v>0.62194373578057871</v>
      </c>
      <c r="T136" s="19">
        <f t="shared" si="122"/>
        <v>0.62194373578057871</v>
      </c>
      <c r="U136" s="19">
        <f t="shared" si="122"/>
        <v>0.62194373578057871</v>
      </c>
      <c r="V136" s="19">
        <f t="shared" si="122"/>
        <v>0.62194373578057871</v>
      </c>
      <c r="W136" s="19">
        <f t="shared" si="122"/>
        <v>0.62194373578057871</v>
      </c>
      <c r="X136" s="19">
        <f t="shared" si="122"/>
        <v>0.62194373578057871</v>
      </c>
      <c r="Y136" s="19">
        <f t="shared" si="122"/>
        <v>0.62194373578057871</v>
      </c>
    </row>
    <row r="137" spans="1:25" x14ac:dyDescent="0.5">
      <c r="A137" s="14" t="s">
        <v>201</v>
      </c>
      <c r="B137" s="23">
        <f>(1-B136)*B135</f>
        <v>-9470.48</v>
      </c>
      <c r="C137" s="23">
        <f t="shared" ref="C137:E137" si="123">(1-C136)*C135</f>
        <v>-45062.01</v>
      </c>
      <c r="D137" s="23">
        <f t="shared" si="123"/>
        <v>-15200.599999999997</v>
      </c>
      <c r="E137" s="23">
        <f t="shared" si="123"/>
        <v>-16963.970000000005</v>
      </c>
      <c r="F137" s="14">
        <f>AVERAGE(B137:E137)</f>
        <v>-21674.264999999999</v>
      </c>
      <c r="G137" s="14">
        <f>F137</f>
        <v>-21674.264999999999</v>
      </c>
      <c r="H137" s="14">
        <f t="shared" ref="H137:Y137" si="124">G137</f>
        <v>-21674.264999999999</v>
      </c>
      <c r="I137" s="14">
        <f t="shared" si="124"/>
        <v>-21674.264999999999</v>
      </c>
      <c r="J137" s="14">
        <f t="shared" si="124"/>
        <v>-21674.264999999999</v>
      </c>
      <c r="K137" s="14">
        <f t="shared" si="124"/>
        <v>-21674.264999999999</v>
      </c>
      <c r="L137" s="14">
        <f t="shared" si="124"/>
        <v>-21674.264999999999</v>
      </c>
      <c r="M137" s="14">
        <f t="shared" si="124"/>
        <v>-21674.264999999999</v>
      </c>
      <c r="N137" s="14">
        <f t="shared" si="124"/>
        <v>-21674.264999999999</v>
      </c>
      <c r="O137" s="14">
        <f t="shared" si="124"/>
        <v>-21674.264999999999</v>
      </c>
      <c r="P137" s="14">
        <f t="shared" si="124"/>
        <v>-21674.264999999999</v>
      </c>
      <c r="Q137" s="14">
        <f t="shared" si="124"/>
        <v>-21674.264999999999</v>
      </c>
      <c r="R137" s="14">
        <f t="shared" si="124"/>
        <v>-21674.264999999999</v>
      </c>
      <c r="S137" s="14">
        <f t="shared" si="124"/>
        <v>-21674.264999999999</v>
      </c>
      <c r="T137" s="14">
        <f t="shared" si="124"/>
        <v>-21674.264999999999</v>
      </c>
      <c r="U137" s="14">
        <f t="shared" si="124"/>
        <v>-21674.264999999999</v>
      </c>
      <c r="V137" s="14">
        <f t="shared" si="124"/>
        <v>-21674.264999999999</v>
      </c>
      <c r="W137" s="14">
        <f t="shared" si="124"/>
        <v>-21674.264999999999</v>
      </c>
      <c r="X137" s="14">
        <f t="shared" si="124"/>
        <v>-21674.264999999999</v>
      </c>
      <c r="Y137" s="14">
        <f t="shared" si="124"/>
        <v>-21674.264999999999</v>
      </c>
    </row>
    <row r="138" spans="1:25" x14ac:dyDescent="0.5">
      <c r="A138" s="14" t="s">
        <v>200</v>
      </c>
      <c r="B138" s="23">
        <f>B135*B136</f>
        <v>-25241.73</v>
      </c>
      <c r="C138" s="23">
        <f t="shared" ref="C138:E138" si="125">C135*C136</f>
        <v>-33009.759999999987</v>
      </c>
      <c r="D138" s="23">
        <f t="shared" si="125"/>
        <v>-27859.820000000007</v>
      </c>
      <c r="E138" s="23">
        <f t="shared" si="125"/>
        <v>-37899.51999999999</v>
      </c>
      <c r="F138" s="14">
        <f>F139*F128</f>
        <v>-36546.620796500523</v>
      </c>
      <c r="G138" s="14">
        <f t="shared" ref="G138:Y138" si="126">G139*G128</f>
        <v>-32832.182099744132</v>
      </c>
      <c r="H138" s="14">
        <f t="shared" si="126"/>
        <v>-33635.96055849651</v>
      </c>
      <c r="I138" s="14">
        <f t="shared" si="126"/>
        <v>-40828.750517829692</v>
      </c>
      <c r="J138" s="14">
        <f t="shared" si="126"/>
        <v>-44193.049534949307</v>
      </c>
      <c r="K138" s="14">
        <f t="shared" si="126"/>
        <v>-51719.603605367629</v>
      </c>
      <c r="L138" s="14">
        <f t="shared" si="126"/>
        <v>-56804.495325498392</v>
      </c>
      <c r="M138" s="14">
        <f t="shared" si="126"/>
        <v>-102466.69829164199</v>
      </c>
      <c r="N138" s="14">
        <f t="shared" si="126"/>
        <v>-139091.63354595532</v>
      </c>
      <c r="O138" s="14">
        <f t="shared" si="126"/>
        <v>-182204.11761524546</v>
      </c>
      <c r="P138" s="14">
        <f t="shared" si="126"/>
        <v>-286054.77090713556</v>
      </c>
      <c r="Q138" s="14">
        <f t="shared" si="126"/>
        <v>-389579.17654881702</v>
      </c>
      <c r="R138" s="14">
        <f t="shared" si="126"/>
        <v>-498535.50166594668</v>
      </c>
      <c r="S138" s="14">
        <f t="shared" si="126"/>
        <v>-620410.81812923611</v>
      </c>
      <c r="T138" s="14">
        <f t="shared" si="126"/>
        <v>-749754.5043686392</v>
      </c>
      <c r="U138" s="14">
        <f t="shared" si="126"/>
        <v>-891570.4096943622</v>
      </c>
      <c r="V138" s="14">
        <f t="shared" si="126"/>
        <v>-1056921.8620663462</v>
      </c>
      <c r="W138" s="14">
        <f t="shared" si="126"/>
        <v>-1241885.5776400445</v>
      </c>
      <c r="X138" s="14">
        <f t="shared" si="126"/>
        <v>-1452668.5738114642</v>
      </c>
      <c r="Y138" s="14">
        <f t="shared" si="126"/>
        <v>-1700207.4198993829</v>
      </c>
    </row>
    <row r="139" spans="1:25" x14ac:dyDescent="0.5">
      <c r="A139" s="14" t="s">
        <v>202</v>
      </c>
      <c r="B139" s="22">
        <f>B138/B128</f>
        <v>0.1713308473962856</v>
      </c>
      <c r="C139" s="22">
        <f t="shared" ref="C139:E139" si="127">C138/C128</f>
        <v>0.20183243909275131</v>
      </c>
      <c r="D139" s="22">
        <f t="shared" si="127"/>
        <v>0.18041117046356067</v>
      </c>
      <c r="E139" s="22">
        <f t="shared" si="127"/>
        <v>0.27762974740061275</v>
      </c>
      <c r="F139" s="18">
        <f>AVERAGE(B139:E139)</f>
        <v>0.20780105108830257</v>
      </c>
      <c r="G139" s="19">
        <f>F139</f>
        <v>0.20780105108830257</v>
      </c>
      <c r="H139" s="19">
        <f t="shared" ref="H139:Y139" si="128">G139</f>
        <v>0.20780105108830257</v>
      </c>
      <c r="I139" s="19">
        <f t="shared" si="128"/>
        <v>0.20780105108830257</v>
      </c>
      <c r="J139" s="19">
        <f t="shared" si="128"/>
        <v>0.20780105108830257</v>
      </c>
      <c r="K139" s="19">
        <f t="shared" si="128"/>
        <v>0.20780105108830257</v>
      </c>
      <c r="L139" s="19">
        <f t="shared" si="128"/>
        <v>0.20780105108830257</v>
      </c>
      <c r="M139" s="19">
        <f t="shared" si="128"/>
        <v>0.20780105108830257</v>
      </c>
      <c r="N139" s="19">
        <f t="shared" si="128"/>
        <v>0.20780105108830257</v>
      </c>
      <c r="O139" s="19">
        <f t="shared" si="128"/>
        <v>0.20780105108830257</v>
      </c>
      <c r="P139" s="19">
        <f t="shared" si="128"/>
        <v>0.20780105108830257</v>
      </c>
      <c r="Q139" s="19">
        <f t="shared" si="128"/>
        <v>0.20780105108830257</v>
      </c>
      <c r="R139" s="19">
        <f t="shared" si="128"/>
        <v>0.20780105108830257</v>
      </c>
      <c r="S139" s="19">
        <f t="shared" si="128"/>
        <v>0.20780105108830257</v>
      </c>
      <c r="T139" s="19">
        <f t="shared" si="128"/>
        <v>0.20780105108830257</v>
      </c>
      <c r="U139" s="19">
        <f t="shared" si="128"/>
        <v>0.20780105108830257</v>
      </c>
      <c r="V139" s="19">
        <f t="shared" si="128"/>
        <v>0.20780105108830257</v>
      </c>
      <c r="W139" s="19">
        <f t="shared" si="128"/>
        <v>0.20780105108830257</v>
      </c>
      <c r="X139" s="19">
        <f t="shared" si="128"/>
        <v>0.20780105108830257</v>
      </c>
      <c r="Y139" s="19">
        <f t="shared" si="128"/>
        <v>0.20780105108830257</v>
      </c>
    </row>
  </sheetData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B24A-FD02-47CE-BEB9-7EE1B4B259FC}">
  <sheetPr>
    <tabColor theme="8" tint="0.79998168889431442"/>
  </sheetPr>
  <dimension ref="A1:Y33"/>
  <sheetViews>
    <sheetView zoomScaleNormal="100" workbookViewId="0"/>
  </sheetViews>
  <sheetFormatPr defaultColWidth="8.83203125" defaultRowHeight="10.5" x14ac:dyDescent="0.5"/>
  <cols>
    <col min="1" max="1" width="24.4140625" style="14" customWidth="1"/>
    <col min="2" max="5" width="8.83203125" style="23"/>
    <col min="6" max="16384" width="8.83203125" style="14"/>
  </cols>
  <sheetData>
    <row r="1" spans="1:25" s="13" customFormat="1" x14ac:dyDescent="0.5">
      <c r="A1" s="15" t="s">
        <v>245</v>
      </c>
      <c r="B1" s="20"/>
      <c r="C1" s="20"/>
      <c r="D1" s="20"/>
      <c r="E1" s="20"/>
    </row>
    <row r="2" spans="1:25" s="13" customFormat="1" x14ac:dyDescent="0.5">
      <c r="B2" s="20"/>
      <c r="C2" s="20"/>
      <c r="D2" s="20"/>
      <c r="E2" s="20">
        <v>4</v>
      </c>
      <c r="F2" s="13">
        <f>E2+1</f>
        <v>5</v>
      </c>
      <c r="G2" s="13">
        <f t="shared" ref="G2:Y2" si="0">F2+1</f>
        <v>6</v>
      </c>
      <c r="H2" s="13">
        <f t="shared" si="0"/>
        <v>7</v>
      </c>
      <c r="I2" s="13">
        <f t="shared" si="0"/>
        <v>8</v>
      </c>
      <c r="J2" s="13">
        <f t="shared" si="0"/>
        <v>9</v>
      </c>
      <c r="K2" s="13">
        <f t="shared" si="0"/>
        <v>10</v>
      </c>
      <c r="L2" s="13">
        <f t="shared" si="0"/>
        <v>11</v>
      </c>
      <c r="M2" s="13">
        <f t="shared" si="0"/>
        <v>12</v>
      </c>
      <c r="N2" s="13">
        <f t="shared" si="0"/>
        <v>13</v>
      </c>
      <c r="O2" s="13">
        <f t="shared" si="0"/>
        <v>14</v>
      </c>
      <c r="P2" s="13">
        <f t="shared" si="0"/>
        <v>15</v>
      </c>
      <c r="Q2" s="13">
        <f t="shared" si="0"/>
        <v>16</v>
      </c>
      <c r="R2" s="13">
        <f t="shared" si="0"/>
        <v>17</v>
      </c>
      <c r="S2" s="13">
        <f t="shared" si="0"/>
        <v>18</v>
      </c>
      <c r="T2" s="13">
        <f t="shared" si="0"/>
        <v>19</v>
      </c>
      <c r="U2" s="13">
        <f t="shared" si="0"/>
        <v>20</v>
      </c>
      <c r="V2" s="13">
        <f t="shared" si="0"/>
        <v>21</v>
      </c>
      <c r="W2" s="13">
        <f t="shared" si="0"/>
        <v>22</v>
      </c>
      <c r="X2" s="13">
        <f t="shared" si="0"/>
        <v>23</v>
      </c>
      <c r="Y2" s="13">
        <f t="shared" si="0"/>
        <v>24</v>
      </c>
    </row>
    <row r="3" spans="1:25" s="13" customFormat="1" x14ac:dyDescent="0.5">
      <c r="A3" s="13" t="s">
        <v>119</v>
      </c>
      <c r="B3" s="20">
        <v>2022</v>
      </c>
      <c r="C3" s="20">
        <v>2022</v>
      </c>
      <c r="D3" s="20">
        <v>2022</v>
      </c>
      <c r="E3" s="20">
        <v>2022</v>
      </c>
      <c r="F3" s="13">
        <f>B3+1</f>
        <v>2023</v>
      </c>
      <c r="G3" s="13">
        <f t="shared" ref="G3:Y3" si="1">C3+1</f>
        <v>2023</v>
      </c>
      <c r="H3" s="13">
        <f t="shared" si="1"/>
        <v>2023</v>
      </c>
      <c r="I3" s="13">
        <f t="shared" si="1"/>
        <v>2023</v>
      </c>
      <c r="J3" s="13">
        <f t="shared" si="1"/>
        <v>2024</v>
      </c>
      <c r="K3" s="13">
        <f t="shared" si="1"/>
        <v>2024</v>
      </c>
      <c r="L3" s="13">
        <f t="shared" si="1"/>
        <v>2024</v>
      </c>
      <c r="M3" s="13">
        <f t="shared" si="1"/>
        <v>2024</v>
      </c>
      <c r="N3" s="13">
        <f t="shared" si="1"/>
        <v>2025</v>
      </c>
      <c r="O3" s="13">
        <f t="shared" si="1"/>
        <v>2025</v>
      </c>
      <c r="P3" s="13">
        <f t="shared" si="1"/>
        <v>2025</v>
      </c>
      <c r="Q3" s="13">
        <f t="shared" si="1"/>
        <v>2025</v>
      </c>
      <c r="R3" s="13">
        <f t="shared" si="1"/>
        <v>2026</v>
      </c>
      <c r="S3" s="13">
        <f t="shared" si="1"/>
        <v>2026</v>
      </c>
      <c r="T3" s="13">
        <f t="shared" si="1"/>
        <v>2026</v>
      </c>
      <c r="U3" s="13">
        <f t="shared" si="1"/>
        <v>2026</v>
      </c>
      <c r="V3" s="13">
        <f t="shared" si="1"/>
        <v>2027</v>
      </c>
      <c r="W3" s="13">
        <f t="shared" si="1"/>
        <v>2027</v>
      </c>
      <c r="X3" s="13">
        <f t="shared" si="1"/>
        <v>2027</v>
      </c>
      <c r="Y3" s="13">
        <f t="shared" si="1"/>
        <v>2027</v>
      </c>
    </row>
    <row r="4" spans="1:25" s="13" customFormat="1" x14ac:dyDescent="0.5">
      <c r="A4" s="13" t="s">
        <v>120</v>
      </c>
      <c r="B4" s="20">
        <v>1</v>
      </c>
      <c r="C4" s="20">
        <f>B4+1</f>
        <v>2</v>
      </c>
      <c r="D4" s="20">
        <f t="shared" ref="D4:E4" si="2">C4+1</f>
        <v>3</v>
      </c>
      <c r="E4" s="20">
        <f t="shared" si="2"/>
        <v>4</v>
      </c>
      <c r="F4" s="13">
        <f>B4</f>
        <v>1</v>
      </c>
      <c r="G4" s="13">
        <f t="shared" ref="G4:Y4" si="3">C4</f>
        <v>2</v>
      </c>
      <c r="H4" s="13">
        <f t="shared" si="3"/>
        <v>3</v>
      </c>
      <c r="I4" s="13">
        <f t="shared" si="3"/>
        <v>4</v>
      </c>
      <c r="J4" s="13">
        <f t="shared" si="3"/>
        <v>1</v>
      </c>
      <c r="K4" s="13">
        <f t="shared" si="3"/>
        <v>2</v>
      </c>
      <c r="L4" s="13">
        <f t="shared" si="3"/>
        <v>3</v>
      </c>
      <c r="M4" s="13">
        <f t="shared" si="3"/>
        <v>4</v>
      </c>
      <c r="N4" s="13">
        <f t="shared" si="3"/>
        <v>1</v>
      </c>
      <c r="O4" s="13">
        <f t="shared" si="3"/>
        <v>2</v>
      </c>
      <c r="P4" s="13">
        <f t="shared" si="3"/>
        <v>3</v>
      </c>
      <c r="Q4" s="13">
        <f t="shared" si="3"/>
        <v>4</v>
      </c>
      <c r="R4" s="13">
        <f t="shared" si="3"/>
        <v>1</v>
      </c>
      <c r="S4" s="13">
        <f t="shared" si="3"/>
        <v>2</v>
      </c>
      <c r="T4" s="13">
        <f t="shared" si="3"/>
        <v>3</v>
      </c>
      <c r="U4" s="13">
        <f t="shared" si="3"/>
        <v>4</v>
      </c>
      <c r="V4" s="13">
        <f t="shared" si="3"/>
        <v>1</v>
      </c>
      <c r="W4" s="13">
        <f t="shared" si="3"/>
        <v>2</v>
      </c>
      <c r="X4" s="13">
        <f t="shared" si="3"/>
        <v>3</v>
      </c>
      <c r="Y4" s="13">
        <f t="shared" si="3"/>
        <v>4</v>
      </c>
    </row>
    <row r="5" spans="1:25" s="13" customFormat="1" x14ac:dyDescent="0.5">
      <c r="B5" s="20"/>
      <c r="C5" s="20"/>
      <c r="D5" s="20"/>
      <c r="E5" s="20"/>
    </row>
    <row r="6" spans="1:25" x14ac:dyDescent="0.5">
      <c r="A6" s="31" t="s">
        <v>159</v>
      </c>
      <c r="B6" s="21"/>
      <c r="C6" s="21"/>
      <c r="D6" s="21"/>
      <c r="E6" s="21"/>
    </row>
    <row r="7" spans="1:25" x14ac:dyDescent="0.5">
      <c r="A7" s="14" t="s">
        <v>279</v>
      </c>
      <c r="B7" s="21">
        <f>Operational!B7</f>
        <v>132</v>
      </c>
      <c r="C7" s="21">
        <f>Operational!C7</f>
        <v>83</v>
      </c>
      <c r="D7" s="21">
        <f>Operational!D7</f>
        <v>113</v>
      </c>
      <c r="E7" s="21">
        <f>Operational!E7</f>
        <v>70</v>
      </c>
      <c r="F7" s="16">
        <f>Operational!F9</f>
        <v>165</v>
      </c>
      <c r="G7" s="16">
        <f>Operational!G9</f>
        <v>221</v>
      </c>
      <c r="H7" s="16">
        <f>Operational!H9</f>
        <v>254</v>
      </c>
      <c r="I7" s="16">
        <f>Operational!I9</f>
        <v>305</v>
      </c>
      <c r="J7" s="16">
        <f>Operational!J9</f>
        <v>381</v>
      </c>
      <c r="K7" s="16">
        <f>Operational!K9</f>
        <v>477</v>
      </c>
      <c r="L7" s="16">
        <f>Operational!L9</f>
        <v>596</v>
      </c>
      <c r="M7" s="16">
        <f>Operational!M9</f>
        <v>1150</v>
      </c>
      <c r="N7" s="16">
        <f>Operational!N9</f>
        <v>1741</v>
      </c>
      <c r="O7" s="16">
        <f>Operational!O9</f>
        <v>2379</v>
      </c>
      <c r="P7" s="16">
        <f>Operational!P9</f>
        <v>3075</v>
      </c>
      <c r="Q7" s="16">
        <f>Operational!Q9</f>
        <v>3843</v>
      </c>
      <c r="R7" s="16">
        <f>Operational!R9</f>
        <v>4703</v>
      </c>
      <c r="S7" s="16">
        <f>Operational!S9</f>
        <v>5676</v>
      </c>
      <c r="T7" s="16">
        <f>Operational!T9</f>
        <v>6792</v>
      </c>
      <c r="U7" s="16">
        <f>Operational!U9</f>
        <v>8084</v>
      </c>
      <c r="V7" s="16">
        <f>Operational!V9</f>
        <v>9599</v>
      </c>
      <c r="W7" s="16">
        <f>Operational!W9</f>
        <v>11392</v>
      </c>
      <c r="X7" s="16">
        <f>Operational!X9</f>
        <v>13531</v>
      </c>
      <c r="Y7" s="16">
        <f>Operational!Y9</f>
        <v>16103</v>
      </c>
    </row>
    <row r="8" spans="1:25" x14ac:dyDescent="0.5">
      <c r="A8" s="14" t="s">
        <v>18</v>
      </c>
      <c r="B8" s="21">
        <f>Operational!B24</f>
        <v>21</v>
      </c>
      <c r="C8" s="21">
        <f>Operational!C24</f>
        <v>15</v>
      </c>
      <c r="D8" s="21">
        <f>Operational!D24</f>
        <v>31</v>
      </c>
      <c r="E8" s="21">
        <f>Operational!E24</f>
        <v>29</v>
      </c>
      <c r="F8" s="16">
        <f>Operational!F24</f>
        <v>33</v>
      </c>
      <c r="G8" s="16">
        <f>Operational!G24</f>
        <v>57</v>
      </c>
      <c r="H8" s="16">
        <f>Operational!H24</f>
        <v>42</v>
      </c>
      <c r="I8" s="16">
        <f>Operational!I24</f>
        <v>99</v>
      </c>
      <c r="J8" s="16">
        <f>Operational!J24</f>
        <v>133</v>
      </c>
      <c r="K8" s="16">
        <f>Operational!K24</f>
        <v>152</v>
      </c>
      <c r="L8" s="16">
        <f>Operational!L24</f>
        <v>183</v>
      </c>
      <c r="M8" s="16">
        <f>Operational!M24</f>
        <v>229</v>
      </c>
      <c r="N8" s="16">
        <f>Operational!N24</f>
        <v>286</v>
      </c>
      <c r="O8" s="16">
        <f>Operational!O24</f>
        <v>358</v>
      </c>
      <c r="P8" s="16">
        <f>Operational!P24</f>
        <v>1055</v>
      </c>
      <c r="Q8" s="16">
        <f>Operational!Q24</f>
        <v>1774</v>
      </c>
      <c r="R8" s="16">
        <f>Operational!R24</f>
        <v>2521</v>
      </c>
      <c r="S8" s="16">
        <f>Operational!S24</f>
        <v>3303</v>
      </c>
      <c r="T8" s="16">
        <f>Operational!T24</f>
        <v>4129</v>
      </c>
      <c r="U8" s="16">
        <f>Operational!U24</f>
        <v>5009</v>
      </c>
      <c r="V8" s="16">
        <f>Operational!V24</f>
        <v>5958</v>
      </c>
      <c r="W8" s="16">
        <f>Operational!W24</f>
        <v>6991</v>
      </c>
      <c r="X8" s="16">
        <f>Operational!X24</f>
        <v>8131</v>
      </c>
      <c r="Y8" s="16">
        <f>Operational!Y24</f>
        <v>9404</v>
      </c>
    </row>
    <row r="9" spans="1:25" x14ac:dyDescent="0.5">
      <c r="A9" s="14" t="s">
        <v>165</v>
      </c>
      <c r="B9" s="21">
        <f>Operational!B47</f>
        <v>25455.22</v>
      </c>
      <c r="C9" s="21">
        <f>Operational!C47</f>
        <v>15966.75</v>
      </c>
      <c r="D9" s="21">
        <f>Operational!D47</f>
        <v>54016</v>
      </c>
      <c r="E9" s="21">
        <f>Operational!E47</f>
        <v>52949.549999999988</v>
      </c>
      <c r="F9" s="16">
        <f>Operational!F47</f>
        <v>90609.397590361448</v>
      </c>
      <c r="G9" s="16">
        <f>Operational!G47</f>
        <v>149984.60176991153</v>
      </c>
      <c r="H9" s="16">
        <f>Operational!H47</f>
        <v>109301.42857142858</v>
      </c>
      <c r="I9" s="16">
        <f>Operational!I47</f>
        <v>179000</v>
      </c>
      <c r="J9" s="16">
        <f>Operational!J47</f>
        <v>241000</v>
      </c>
      <c r="K9" s="16">
        <f>Operational!K47</f>
        <v>272000</v>
      </c>
      <c r="L9" s="16">
        <f>Operational!L47</f>
        <v>403000</v>
      </c>
      <c r="M9" s="16">
        <f>Operational!M47</f>
        <v>505000</v>
      </c>
      <c r="N9" s="16">
        <f>Operational!N47</f>
        <v>630000</v>
      </c>
      <c r="O9" s="16">
        <f>Operational!O47</f>
        <v>786000</v>
      </c>
      <c r="P9" s="16">
        <f>Operational!P47</f>
        <v>2159000</v>
      </c>
      <c r="Q9" s="16">
        <f>Operational!Q47</f>
        <v>3446000</v>
      </c>
      <c r="R9" s="16">
        <f>Operational!R47</f>
        <v>4805000</v>
      </c>
      <c r="S9" s="16">
        <f>Operational!S47</f>
        <v>6255000</v>
      </c>
      <c r="T9" s="16">
        <f>Operational!T47</f>
        <v>7817000</v>
      </c>
      <c r="U9" s="16">
        <f>Operational!U47</f>
        <v>9525000</v>
      </c>
      <c r="V9" s="16">
        <f>Operational!V47</f>
        <v>11406000</v>
      </c>
      <c r="W9" s="16">
        <f>Operational!W47</f>
        <v>13511000</v>
      </c>
      <c r="X9" s="16">
        <f>Operational!X47</f>
        <v>15891000</v>
      </c>
      <c r="Y9" s="16">
        <f>Operational!Y47</f>
        <v>18620000</v>
      </c>
    </row>
    <row r="10" spans="1:25" x14ac:dyDescent="0.5">
      <c r="B10" s="25"/>
      <c r="C10" s="25"/>
      <c r="D10" s="25"/>
      <c r="E10" s="25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x14ac:dyDescent="0.5">
      <c r="B11" s="25"/>
      <c r="C11" s="25"/>
      <c r="D11" s="25"/>
      <c r="E11" s="25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x14ac:dyDescent="0.5">
      <c r="A12" s="31" t="s">
        <v>335</v>
      </c>
    </row>
    <row r="13" spans="1:25" x14ac:dyDescent="0.5">
      <c r="A13" s="14" t="s">
        <v>247</v>
      </c>
      <c r="I13" s="16"/>
      <c r="J13" s="16">
        <f>Highlights!$B$12</f>
        <v>1</v>
      </c>
    </row>
    <row r="14" spans="1:25" x14ac:dyDescent="0.5">
      <c r="A14" s="14" t="s">
        <v>336</v>
      </c>
      <c r="F14" s="14">
        <f>E14+F13</f>
        <v>0</v>
      </c>
      <c r="G14" s="14">
        <f t="shared" ref="G14:Y14" si="4">F14+G13</f>
        <v>0</v>
      </c>
      <c r="H14" s="14">
        <f t="shared" si="4"/>
        <v>0</v>
      </c>
      <c r="I14" s="14">
        <f t="shared" si="4"/>
        <v>0</v>
      </c>
      <c r="J14" s="14">
        <f t="shared" si="4"/>
        <v>1</v>
      </c>
      <c r="K14" s="14">
        <f t="shared" si="4"/>
        <v>1</v>
      </c>
      <c r="L14" s="14">
        <f t="shared" si="4"/>
        <v>1</v>
      </c>
      <c r="M14" s="14">
        <f t="shared" si="4"/>
        <v>1</v>
      </c>
      <c r="N14" s="14">
        <f t="shared" si="4"/>
        <v>1</v>
      </c>
      <c r="O14" s="14">
        <f t="shared" si="4"/>
        <v>1</v>
      </c>
      <c r="P14" s="14">
        <f t="shared" si="4"/>
        <v>1</v>
      </c>
      <c r="Q14" s="14">
        <f t="shared" si="4"/>
        <v>1</v>
      </c>
      <c r="R14" s="14">
        <f t="shared" si="4"/>
        <v>1</v>
      </c>
      <c r="S14" s="14">
        <f t="shared" si="4"/>
        <v>1</v>
      </c>
      <c r="T14" s="14">
        <f t="shared" si="4"/>
        <v>1</v>
      </c>
      <c r="U14" s="14">
        <f t="shared" si="4"/>
        <v>1</v>
      </c>
      <c r="V14" s="14">
        <f t="shared" si="4"/>
        <v>1</v>
      </c>
      <c r="W14" s="14">
        <f t="shared" si="4"/>
        <v>1</v>
      </c>
      <c r="X14" s="14">
        <f t="shared" si="4"/>
        <v>1</v>
      </c>
      <c r="Y14" s="14">
        <f t="shared" si="4"/>
        <v>1</v>
      </c>
    </row>
    <row r="15" spans="1:25" x14ac:dyDescent="0.5">
      <c r="A15" s="14" t="s">
        <v>337</v>
      </c>
      <c r="F15" s="17">
        <v>150</v>
      </c>
      <c r="G15" s="14">
        <f>F15</f>
        <v>150</v>
      </c>
      <c r="H15" s="14">
        <f t="shared" ref="H15:Y15" si="5">G15</f>
        <v>150</v>
      </c>
      <c r="I15" s="14">
        <f t="shared" si="5"/>
        <v>150</v>
      </c>
      <c r="J15" s="14">
        <f t="shared" si="5"/>
        <v>150</v>
      </c>
      <c r="K15" s="14">
        <f t="shared" si="5"/>
        <v>150</v>
      </c>
      <c r="L15" s="14">
        <f t="shared" si="5"/>
        <v>150</v>
      </c>
      <c r="M15" s="14">
        <f t="shared" si="5"/>
        <v>150</v>
      </c>
      <c r="N15" s="14">
        <f t="shared" si="5"/>
        <v>150</v>
      </c>
      <c r="O15" s="14">
        <f t="shared" si="5"/>
        <v>150</v>
      </c>
      <c r="P15" s="14">
        <f t="shared" si="5"/>
        <v>150</v>
      </c>
      <c r="Q15" s="14">
        <f t="shared" si="5"/>
        <v>150</v>
      </c>
      <c r="R15" s="14">
        <f t="shared" si="5"/>
        <v>150</v>
      </c>
      <c r="S15" s="14">
        <f t="shared" si="5"/>
        <v>150</v>
      </c>
      <c r="T15" s="14">
        <f t="shared" si="5"/>
        <v>150</v>
      </c>
      <c r="U15" s="14">
        <f t="shared" si="5"/>
        <v>150</v>
      </c>
      <c r="V15" s="14">
        <f t="shared" si="5"/>
        <v>150</v>
      </c>
      <c r="W15" s="14">
        <f t="shared" si="5"/>
        <v>150</v>
      </c>
      <c r="X15" s="14">
        <f t="shared" si="5"/>
        <v>150</v>
      </c>
      <c r="Y15" s="14">
        <f t="shared" si="5"/>
        <v>150</v>
      </c>
    </row>
    <row r="16" spans="1:25" x14ac:dyDescent="0.5">
      <c r="A16" s="14" t="s">
        <v>248</v>
      </c>
      <c r="F16" s="76">
        <f>Highlights!$B$13</f>
        <v>0.2</v>
      </c>
      <c r="G16" s="19">
        <f>F16</f>
        <v>0.2</v>
      </c>
      <c r="H16" s="19">
        <f t="shared" ref="H16:Y16" si="6">G16</f>
        <v>0.2</v>
      </c>
      <c r="I16" s="19">
        <f t="shared" si="6"/>
        <v>0.2</v>
      </c>
      <c r="J16" s="19">
        <f t="shared" si="6"/>
        <v>0.2</v>
      </c>
      <c r="K16" s="19">
        <f t="shared" si="6"/>
        <v>0.2</v>
      </c>
      <c r="L16" s="19">
        <f t="shared" si="6"/>
        <v>0.2</v>
      </c>
      <c r="M16" s="19">
        <f t="shared" si="6"/>
        <v>0.2</v>
      </c>
      <c r="N16" s="19">
        <f t="shared" si="6"/>
        <v>0.2</v>
      </c>
      <c r="O16" s="19">
        <f t="shared" si="6"/>
        <v>0.2</v>
      </c>
      <c r="P16" s="19">
        <f t="shared" si="6"/>
        <v>0.2</v>
      </c>
      <c r="Q16" s="19">
        <f t="shared" si="6"/>
        <v>0.2</v>
      </c>
      <c r="R16" s="19">
        <f t="shared" si="6"/>
        <v>0.2</v>
      </c>
      <c r="S16" s="19">
        <f t="shared" si="6"/>
        <v>0.2</v>
      </c>
      <c r="T16" s="19">
        <f t="shared" si="6"/>
        <v>0.2</v>
      </c>
      <c r="U16" s="19">
        <f t="shared" si="6"/>
        <v>0.2</v>
      </c>
      <c r="V16" s="19">
        <f t="shared" si="6"/>
        <v>0.2</v>
      </c>
      <c r="W16" s="19">
        <f t="shared" si="6"/>
        <v>0.2</v>
      </c>
      <c r="X16" s="19">
        <f t="shared" si="6"/>
        <v>0.2</v>
      </c>
      <c r="Y16" s="19">
        <f t="shared" si="6"/>
        <v>0.2</v>
      </c>
    </row>
    <row r="17" spans="1:25" x14ac:dyDescent="0.5">
      <c r="A17" s="14" t="s">
        <v>340</v>
      </c>
      <c r="F17" s="14">
        <f>ROUND(F16*F$8,0)*F15*F14</f>
        <v>0</v>
      </c>
      <c r="G17" s="14">
        <f t="shared" ref="G17:Y17" si="7">ROUND(G16*G$8,0)*G15*G14</f>
        <v>0</v>
      </c>
      <c r="H17" s="14">
        <f t="shared" si="7"/>
        <v>0</v>
      </c>
      <c r="I17" s="14">
        <f t="shared" si="7"/>
        <v>0</v>
      </c>
      <c r="J17" s="14">
        <f t="shared" si="7"/>
        <v>4050</v>
      </c>
      <c r="K17" s="14">
        <f t="shared" si="7"/>
        <v>4500</v>
      </c>
      <c r="L17" s="14">
        <f t="shared" si="7"/>
        <v>5550</v>
      </c>
      <c r="M17" s="14">
        <f t="shared" si="7"/>
        <v>6900</v>
      </c>
      <c r="N17" s="14">
        <f t="shared" si="7"/>
        <v>8550</v>
      </c>
      <c r="O17" s="14">
        <f t="shared" si="7"/>
        <v>10800</v>
      </c>
      <c r="P17" s="14">
        <f t="shared" si="7"/>
        <v>31650</v>
      </c>
      <c r="Q17" s="14">
        <f t="shared" si="7"/>
        <v>53250</v>
      </c>
      <c r="R17" s="14">
        <f t="shared" si="7"/>
        <v>75600</v>
      </c>
      <c r="S17" s="14">
        <f t="shared" si="7"/>
        <v>99150</v>
      </c>
      <c r="T17" s="14">
        <f t="shared" si="7"/>
        <v>123900</v>
      </c>
      <c r="U17" s="14">
        <f t="shared" si="7"/>
        <v>150300</v>
      </c>
      <c r="V17" s="14">
        <f t="shared" si="7"/>
        <v>178800</v>
      </c>
      <c r="W17" s="14">
        <f t="shared" si="7"/>
        <v>209700</v>
      </c>
      <c r="X17" s="14">
        <f t="shared" si="7"/>
        <v>243900</v>
      </c>
      <c r="Y17" s="14">
        <f t="shared" si="7"/>
        <v>282150</v>
      </c>
    </row>
    <row r="19" spans="1:25" x14ac:dyDescent="0.5">
      <c r="A19" s="31" t="s">
        <v>338</v>
      </c>
    </row>
    <row r="20" spans="1:25" x14ac:dyDescent="0.5">
      <c r="A20" s="14" t="s">
        <v>247</v>
      </c>
      <c r="I20" s="16"/>
      <c r="J20" s="16">
        <f>Highlights!$B$12</f>
        <v>1</v>
      </c>
    </row>
    <row r="21" spans="1:25" x14ac:dyDescent="0.5">
      <c r="A21" s="14" t="s">
        <v>339</v>
      </c>
      <c r="F21" s="14">
        <f>E21+F20</f>
        <v>0</v>
      </c>
      <c r="G21" s="14">
        <f t="shared" ref="G21:Y21" si="8">F21+G20</f>
        <v>0</v>
      </c>
      <c r="H21" s="14">
        <f t="shared" si="8"/>
        <v>0</v>
      </c>
      <c r="I21" s="14">
        <f t="shared" si="8"/>
        <v>0</v>
      </c>
      <c r="J21" s="14">
        <f t="shared" si="8"/>
        <v>1</v>
      </c>
      <c r="K21" s="14">
        <f t="shared" si="8"/>
        <v>1</v>
      </c>
      <c r="L21" s="14">
        <f t="shared" si="8"/>
        <v>1</v>
      </c>
      <c r="M21" s="14">
        <f t="shared" si="8"/>
        <v>1</v>
      </c>
      <c r="N21" s="14">
        <f t="shared" si="8"/>
        <v>1</v>
      </c>
      <c r="O21" s="14">
        <f t="shared" si="8"/>
        <v>1</v>
      </c>
      <c r="P21" s="14">
        <f t="shared" si="8"/>
        <v>1</v>
      </c>
      <c r="Q21" s="14">
        <f t="shared" si="8"/>
        <v>1</v>
      </c>
      <c r="R21" s="14">
        <f t="shared" si="8"/>
        <v>1</v>
      </c>
      <c r="S21" s="14">
        <f t="shared" si="8"/>
        <v>1</v>
      </c>
      <c r="T21" s="14">
        <f t="shared" si="8"/>
        <v>1</v>
      </c>
      <c r="U21" s="14">
        <f t="shared" si="8"/>
        <v>1</v>
      </c>
      <c r="V21" s="14">
        <f t="shared" si="8"/>
        <v>1</v>
      </c>
      <c r="W21" s="14">
        <f t="shared" si="8"/>
        <v>1</v>
      </c>
      <c r="X21" s="14">
        <f t="shared" si="8"/>
        <v>1</v>
      </c>
      <c r="Y21" s="14">
        <f t="shared" si="8"/>
        <v>1</v>
      </c>
    </row>
    <row r="22" spans="1:25" x14ac:dyDescent="0.5">
      <c r="A22" s="14" t="s">
        <v>337</v>
      </c>
      <c r="F22" s="17">
        <v>150</v>
      </c>
      <c r="G22" s="14">
        <f>F22</f>
        <v>150</v>
      </c>
      <c r="H22" s="14">
        <f t="shared" ref="H22:Y22" si="9">G22</f>
        <v>150</v>
      </c>
      <c r="I22" s="14">
        <f t="shared" si="9"/>
        <v>150</v>
      </c>
      <c r="J22" s="14">
        <f t="shared" si="9"/>
        <v>150</v>
      </c>
      <c r="K22" s="14">
        <f t="shared" si="9"/>
        <v>150</v>
      </c>
      <c r="L22" s="14">
        <f t="shared" si="9"/>
        <v>150</v>
      </c>
      <c r="M22" s="14">
        <f t="shared" si="9"/>
        <v>150</v>
      </c>
      <c r="N22" s="14">
        <f t="shared" si="9"/>
        <v>150</v>
      </c>
      <c r="O22" s="14">
        <f t="shared" si="9"/>
        <v>150</v>
      </c>
      <c r="P22" s="14">
        <f t="shared" si="9"/>
        <v>150</v>
      </c>
      <c r="Q22" s="14">
        <f t="shared" si="9"/>
        <v>150</v>
      </c>
      <c r="R22" s="14">
        <f t="shared" si="9"/>
        <v>150</v>
      </c>
      <c r="S22" s="14">
        <f t="shared" si="9"/>
        <v>150</v>
      </c>
      <c r="T22" s="14">
        <f t="shared" si="9"/>
        <v>150</v>
      </c>
      <c r="U22" s="14">
        <f t="shared" si="9"/>
        <v>150</v>
      </c>
      <c r="V22" s="14">
        <f t="shared" si="9"/>
        <v>150</v>
      </c>
      <c r="W22" s="14">
        <f t="shared" si="9"/>
        <v>150</v>
      </c>
      <c r="X22" s="14">
        <f t="shared" si="9"/>
        <v>150</v>
      </c>
      <c r="Y22" s="14">
        <f t="shared" si="9"/>
        <v>150</v>
      </c>
    </row>
    <row r="23" spans="1:25" x14ac:dyDescent="0.5">
      <c r="A23" s="14" t="s">
        <v>248</v>
      </c>
      <c r="F23" s="76">
        <f>Highlights!$B$13</f>
        <v>0.2</v>
      </c>
      <c r="G23" s="19">
        <f>F23</f>
        <v>0.2</v>
      </c>
      <c r="H23" s="19">
        <f t="shared" ref="H23:Y23" si="10">G23</f>
        <v>0.2</v>
      </c>
      <c r="I23" s="19">
        <f t="shared" si="10"/>
        <v>0.2</v>
      </c>
      <c r="J23" s="19">
        <f t="shared" si="10"/>
        <v>0.2</v>
      </c>
      <c r="K23" s="19">
        <f t="shared" si="10"/>
        <v>0.2</v>
      </c>
      <c r="L23" s="19">
        <f t="shared" si="10"/>
        <v>0.2</v>
      </c>
      <c r="M23" s="19">
        <f t="shared" si="10"/>
        <v>0.2</v>
      </c>
      <c r="N23" s="19">
        <f t="shared" si="10"/>
        <v>0.2</v>
      </c>
      <c r="O23" s="19">
        <f t="shared" si="10"/>
        <v>0.2</v>
      </c>
      <c r="P23" s="19">
        <f t="shared" si="10"/>
        <v>0.2</v>
      </c>
      <c r="Q23" s="19">
        <f t="shared" si="10"/>
        <v>0.2</v>
      </c>
      <c r="R23" s="19">
        <f t="shared" si="10"/>
        <v>0.2</v>
      </c>
      <c r="S23" s="19">
        <f t="shared" si="10"/>
        <v>0.2</v>
      </c>
      <c r="T23" s="19">
        <f t="shared" si="10"/>
        <v>0.2</v>
      </c>
      <c r="U23" s="19">
        <f t="shared" si="10"/>
        <v>0.2</v>
      </c>
      <c r="V23" s="19">
        <f t="shared" si="10"/>
        <v>0.2</v>
      </c>
      <c r="W23" s="19">
        <f t="shared" si="10"/>
        <v>0.2</v>
      </c>
      <c r="X23" s="19">
        <f t="shared" si="10"/>
        <v>0.2</v>
      </c>
      <c r="Y23" s="19">
        <f t="shared" si="10"/>
        <v>0.2</v>
      </c>
    </row>
    <row r="24" spans="1:25" x14ac:dyDescent="0.5">
      <c r="A24" s="14" t="s">
        <v>341</v>
      </c>
      <c r="F24" s="14">
        <f>ROUND(F23*F$8,0)*F22*F21</f>
        <v>0</v>
      </c>
      <c r="G24" s="14">
        <f t="shared" ref="G24" si="11">ROUND(G23*G$8,0)*G22*G21</f>
        <v>0</v>
      </c>
      <c r="H24" s="14">
        <f t="shared" ref="H24" si="12">ROUND(H23*H$8,0)*H22*H21</f>
        <v>0</v>
      </c>
      <c r="I24" s="14">
        <f t="shared" ref="I24" si="13">ROUND(I23*I$8,0)*I22*I21</f>
        <v>0</v>
      </c>
      <c r="J24" s="14">
        <f t="shared" ref="J24" si="14">ROUND(J23*J$8,0)*J22*J21</f>
        <v>4050</v>
      </c>
      <c r="K24" s="14">
        <f t="shared" ref="K24" si="15">ROUND(K23*K$8,0)*K22*K21</f>
        <v>4500</v>
      </c>
      <c r="L24" s="14">
        <f t="shared" ref="L24" si="16">ROUND(L23*L$8,0)*L22*L21</f>
        <v>5550</v>
      </c>
      <c r="M24" s="14">
        <f t="shared" ref="M24" si="17">ROUND(M23*M$8,0)*M22*M21</f>
        <v>6900</v>
      </c>
      <c r="N24" s="14">
        <f t="shared" ref="N24" si="18">ROUND(N23*N$8,0)*N22*N21</f>
        <v>8550</v>
      </c>
      <c r="O24" s="14">
        <f t="shared" ref="O24" si="19">ROUND(O23*O$8,0)*O22*O21</f>
        <v>10800</v>
      </c>
      <c r="P24" s="14">
        <f t="shared" ref="P24" si="20">ROUND(P23*P$8,0)*P22*P21</f>
        <v>31650</v>
      </c>
      <c r="Q24" s="14">
        <f t="shared" ref="Q24" si="21">ROUND(Q23*Q$8,0)*Q22*Q21</f>
        <v>53250</v>
      </c>
      <c r="R24" s="14">
        <f t="shared" ref="R24" si="22">ROUND(R23*R$8,0)*R22*R21</f>
        <v>75600</v>
      </c>
      <c r="S24" s="14">
        <f t="shared" ref="S24" si="23">ROUND(S23*S$8,0)*S22*S21</f>
        <v>99150</v>
      </c>
      <c r="T24" s="14">
        <f t="shared" ref="T24" si="24">ROUND(T23*T$8,0)*T22*T21</f>
        <v>123900</v>
      </c>
      <c r="U24" s="14">
        <f t="shared" ref="U24" si="25">ROUND(U23*U$8,0)*U22*U21</f>
        <v>150300</v>
      </c>
      <c r="V24" s="14">
        <f t="shared" ref="V24" si="26">ROUND(V23*V$8,0)*V22*V21</f>
        <v>178800</v>
      </c>
      <c r="W24" s="14">
        <f t="shared" ref="W24" si="27">ROUND(W23*W$8,0)*W22*W21</f>
        <v>209700</v>
      </c>
      <c r="X24" s="14">
        <f t="shared" ref="X24" si="28">ROUND(X23*X$8,0)*X22*X21</f>
        <v>243900</v>
      </c>
      <c r="Y24" s="14">
        <f t="shared" ref="Y24" si="29">ROUND(Y23*Y$8,0)*Y22*Y21</f>
        <v>282150</v>
      </c>
    </row>
    <row r="26" spans="1:25" x14ac:dyDescent="0.5">
      <c r="A26" s="31" t="s">
        <v>342</v>
      </c>
    </row>
    <row r="27" spans="1:25" x14ac:dyDescent="0.5">
      <c r="A27" s="14" t="s">
        <v>247</v>
      </c>
      <c r="I27" s="16"/>
      <c r="J27" s="16">
        <f>Highlights!$B$12</f>
        <v>1</v>
      </c>
    </row>
    <row r="28" spans="1:25" x14ac:dyDescent="0.5">
      <c r="A28" s="14" t="s">
        <v>343</v>
      </c>
      <c r="F28" s="14">
        <f>E28+F27</f>
        <v>0</v>
      </c>
      <c r="G28" s="14">
        <f t="shared" ref="G28" si="30">F28+G27</f>
        <v>0</v>
      </c>
      <c r="H28" s="14">
        <f t="shared" ref="H28" si="31">G28+H27</f>
        <v>0</v>
      </c>
      <c r="I28" s="14">
        <f t="shared" ref="I28" si="32">H28+I27</f>
        <v>0</v>
      </c>
      <c r="J28" s="14">
        <f t="shared" ref="J28" si="33">I28+J27</f>
        <v>1</v>
      </c>
      <c r="K28" s="14">
        <f t="shared" ref="K28" si="34">J28+K27</f>
        <v>1</v>
      </c>
      <c r="L28" s="14">
        <f t="shared" ref="L28" si="35">K28+L27</f>
        <v>1</v>
      </c>
      <c r="M28" s="14">
        <f t="shared" ref="M28" si="36">L28+M27</f>
        <v>1</v>
      </c>
      <c r="N28" s="14">
        <f t="shared" ref="N28" si="37">M28+N27</f>
        <v>1</v>
      </c>
      <c r="O28" s="14">
        <f t="shared" ref="O28" si="38">N28+O27</f>
        <v>1</v>
      </c>
      <c r="P28" s="14">
        <f t="shared" ref="P28" si="39">O28+P27</f>
        <v>1</v>
      </c>
      <c r="Q28" s="14">
        <f t="shared" ref="Q28" si="40">P28+Q27</f>
        <v>1</v>
      </c>
      <c r="R28" s="14">
        <f t="shared" ref="R28" si="41">Q28+R27</f>
        <v>1</v>
      </c>
      <c r="S28" s="14">
        <f t="shared" ref="S28" si="42">R28+S27</f>
        <v>1</v>
      </c>
      <c r="T28" s="14">
        <f t="shared" ref="T28" si="43">S28+T27</f>
        <v>1</v>
      </c>
      <c r="U28" s="14">
        <f t="shared" ref="U28" si="44">T28+U27</f>
        <v>1</v>
      </c>
      <c r="V28" s="14">
        <f t="shared" ref="V28" si="45">U28+V27</f>
        <v>1</v>
      </c>
      <c r="W28" s="14">
        <f t="shared" ref="W28" si="46">V28+W27</f>
        <v>1</v>
      </c>
      <c r="X28" s="14">
        <f t="shared" ref="X28" si="47">W28+X27</f>
        <v>1</v>
      </c>
      <c r="Y28" s="14">
        <f t="shared" ref="Y28" si="48">X28+Y27</f>
        <v>1</v>
      </c>
    </row>
    <row r="29" spans="1:25" x14ac:dyDescent="0.5">
      <c r="A29" s="14" t="s">
        <v>337</v>
      </c>
      <c r="F29" s="17">
        <v>350</v>
      </c>
      <c r="G29" s="14">
        <f>F29</f>
        <v>350</v>
      </c>
      <c r="H29" s="14">
        <f t="shared" ref="H29:I29" si="49">G29</f>
        <v>350</v>
      </c>
      <c r="I29" s="14">
        <f t="shared" si="49"/>
        <v>350</v>
      </c>
      <c r="J29" s="14">
        <f t="shared" ref="J29:Y29" si="50">I29</f>
        <v>350</v>
      </c>
      <c r="K29" s="14">
        <f t="shared" si="50"/>
        <v>350</v>
      </c>
      <c r="L29" s="14">
        <f t="shared" si="50"/>
        <v>350</v>
      </c>
      <c r="M29" s="14">
        <f t="shared" si="50"/>
        <v>350</v>
      </c>
      <c r="N29" s="14">
        <f t="shared" si="50"/>
        <v>350</v>
      </c>
      <c r="O29" s="14">
        <f t="shared" si="50"/>
        <v>350</v>
      </c>
      <c r="P29" s="14">
        <f t="shared" si="50"/>
        <v>350</v>
      </c>
      <c r="Q29" s="14">
        <f t="shared" si="50"/>
        <v>350</v>
      </c>
      <c r="R29" s="14">
        <f t="shared" si="50"/>
        <v>350</v>
      </c>
      <c r="S29" s="14">
        <f t="shared" si="50"/>
        <v>350</v>
      </c>
      <c r="T29" s="14">
        <f t="shared" si="50"/>
        <v>350</v>
      </c>
      <c r="U29" s="14">
        <f t="shared" si="50"/>
        <v>350</v>
      </c>
      <c r="V29" s="14">
        <f t="shared" si="50"/>
        <v>350</v>
      </c>
      <c r="W29" s="14">
        <f t="shared" si="50"/>
        <v>350</v>
      </c>
      <c r="X29" s="14">
        <f t="shared" si="50"/>
        <v>350</v>
      </c>
      <c r="Y29" s="14">
        <f t="shared" si="50"/>
        <v>350</v>
      </c>
    </row>
    <row r="30" spans="1:25" x14ac:dyDescent="0.5">
      <c r="A30" s="14" t="s">
        <v>248</v>
      </c>
      <c r="F30" s="76">
        <f>Highlights!$B$13</f>
        <v>0.2</v>
      </c>
      <c r="G30" s="19">
        <f>F30</f>
        <v>0.2</v>
      </c>
      <c r="H30" s="19">
        <f t="shared" ref="H30:I30" si="51">G30</f>
        <v>0.2</v>
      </c>
      <c r="I30" s="19">
        <f t="shared" si="51"/>
        <v>0.2</v>
      </c>
      <c r="J30" s="19">
        <f t="shared" ref="J30:Y30" si="52">I30</f>
        <v>0.2</v>
      </c>
      <c r="K30" s="19">
        <f t="shared" si="52"/>
        <v>0.2</v>
      </c>
      <c r="L30" s="19">
        <f t="shared" si="52"/>
        <v>0.2</v>
      </c>
      <c r="M30" s="19">
        <f t="shared" si="52"/>
        <v>0.2</v>
      </c>
      <c r="N30" s="19">
        <f t="shared" si="52"/>
        <v>0.2</v>
      </c>
      <c r="O30" s="19">
        <f t="shared" si="52"/>
        <v>0.2</v>
      </c>
      <c r="P30" s="19">
        <f t="shared" si="52"/>
        <v>0.2</v>
      </c>
      <c r="Q30" s="19">
        <f t="shared" si="52"/>
        <v>0.2</v>
      </c>
      <c r="R30" s="19">
        <f t="shared" si="52"/>
        <v>0.2</v>
      </c>
      <c r="S30" s="19">
        <f t="shared" si="52"/>
        <v>0.2</v>
      </c>
      <c r="T30" s="19">
        <f t="shared" si="52"/>
        <v>0.2</v>
      </c>
      <c r="U30" s="19">
        <f t="shared" si="52"/>
        <v>0.2</v>
      </c>
      <c r="V30" s="19">
        <f t="shared" si="52"/>
        <v>0.2</v>
      </c>
      <c r="W30" s="19">
        <f t="shared" si="52"/>
        <v>0.2</v>
      </c>
      <c r="X30" s="19">
        <f t="shared" si="52"/>
        <v>0.2</v>
      </c>
      <c r="Y30" s="19">
        <f t="shared" si="52"/>
        <v>0.2</v>
      </c>
    </row>
    <row r="31" spans="1:25" x14ac:dyDescent="0.5">
      <c r="A31" s="14" t="s">
        <v>344</v>
      </c>
      <c r="F31" s="14">
        <f>ROUND(F30*F$8,0)*F29*F28</f>
        <v>0</v>
      </c>
      <c r="G31" s="14">
        <f t="shared" ref="G31" si="53">ROUND(G30*G$8,0)*G29*G28</f>
        <v>0</v>
      </c>
      <c r="H31" s="14">
        <f t="shared" ref="H31" si="54">ROUND(H30*H$8,0)*H29*H28</f>
        <v>0</v>
      </c>
      <c r="I31" s="14">
        <f t="shared" ref="I31" si="55">ROUND(I30*I$8,0)*I29*I28</f>
        <v>0</v>
      </c>
      <c r="J31" s="14">
        <f t="shared" ref="J31" si="56">ROUND(J30*J$8,0)*J29*J28</f>
        <v>9450</v>
      </c>
      <c r="K31" s="14">
        <f t="shared" ref="K31" si="57">ROUND(K30*K$8,0)*K29*K28</f>
        <v>10500</v>
      </c>
      <c r="L31" s="14">
        <f t="shared" ref="L31" si="58">ROUND(L30*L$8,0)*L29*L28</f>
        <v>12950</v>
      </c>
      <c r="M31" s="14">
        <f t="shared" ref="M31" si="59">ROUND(M30*M$8,0)*M29*M28</f>
        <v>16100</v>
      </c>
      <c r="N31" s="14">
        <f t="shared" ref="N31" si="60">ROUND(N30*N$8,0)*N29*N28</f>
        <v>19950</v>
      </c>
      <c r="O31" s="14">
        <f t="shared" ref="O31" si="61">ROUND(O30*O$8,0)*O29*O28</f>
        <v>25200</v>
      </c>
      <c r="P31" s="14">
        <f t="shared" ref="P31" si="62">ROUND(P30*P$8,0)*P29*P28</f>
        <v>73850</v>
      </c>
      <c r="Q31" s="14">
        <f t="shared" ref="Q31" si="63">ROUND(Q30*Q$8,0)*Q29*Q28</f>
        <v>124250</v>
      </c>
      <c r="R31" s="14">
        <f t="shared" ref="R31" si="64">ROUND(R30*R$8,0)*R29*R28</f>
        <v>176400</v>
      </c>
      <c r="S31" s="14">
        <f t="shared" ref="S31" si="65">ROUND(S30*S$8,0)*S29*S28</f>
        <v>231350</v>
      </c>
      <c r="T31" s="14">
        <f t="shared" ref="T31" si="66">ROUND(T30*T$8,0)*T29*T28</f>
        <v>289100</v>
      </c>
      <c r="U31" s="14">
        <f t="shared" ref="U31" si="67">ROUND(U30*U$8,0)*U29*U28</f>
        <v>350700</v>
      </c>
      <c r="V31" s="14">
        <f t="shared" ref="V31" si="68">ROUND(V30*V$8,0)*V29*V28</f>
        <v>417200</v>
      </c>
      <c r="W31" s="14">
        <f t="shared" ref="W31" si="69">ROUND(W30*W$8,0)*W29*W28</f>
        <v>489300</v>
      </c>
      <c r="X31" s="14">
        <f t="shared" ref="X31" si="70">ROUND(X30*X$8,0)*X29*X28</f>
        <v>569100</v>
      </c>
      <c r="Y31" s="14">
        <f t="shared" ref="Y31" si="71">ROUND(Y30*Y$8,0)*Y29*Y28</f>
        <v>658350</v>
      </c>
    </row>
    <row r="33" spans="1:25" x14ac:dyDescent="0.5">
      <c r="A33" s="37" t="s">
        <v>345</v>
      </c>
      <c r="B33" s="38"/>
      <c r="C33" s="38"/>
      <c r="D33" s="38"/>
      <c r="E33" s="38"/>
      <c r="F33" s="37">
        <f>F17+F24+F31</f>
        <v>0</v>
      </c>
      <c r="G33" s="37">
        <f t="shared" ref="G33:Y33" si="72">G17+G24+G31</f>
        <v>0</v>
      </c>
      <c r="H33" s="37">
        <f t="shared" si="72"/>
        <v>0</v>
      </c>
      <c r="I33" s="37">
        <f t="shared" si="72"/>
        <v>0</v>
      </c>
      <c r="J33" s="37">
        <f t="shared" si="72"/>
        <v>17550</v>
      </c>
      <c r="K33" s="37">
        <f t="shared" si="72"/>
        <v>19500</v>
      </c>
      <c r="L33" s="37">
        <f t="shared" si="72"/>
        <v>24050</v>
      </c>
      <c r="M33" s="37">
        <f t="shared" si="72"/>
        <v>29900</v>
      </c>
      <c r="N33" s="37">
        <f t="shared" si="72"/>
        <v>37050</v>
      </c>
      <c r="O33" s="37">
        <f t="shared" si="72"/>
        <v>46800</v>
      </c>
      <c r="P33" s="37">
        <f t="shared" si="72"/>
        <v>137150</v>
      </c>
      <c r="Q33" s="37">
        <f t="shared" si="72"/>
        <v>230750</v>
      </c>
      <c r="R33" s="37">
        <f t="shared" si="72"/>
        <v>327600</v>
      </c>
      <c r="S33" s="37">
        <f t="shared" si="72"/>
        <v>429650</v>
      </c>
      <c r="T33" s="37">
        <f t="shared" si="72"/>
        <v>536900</v>
      </c>
      <c r="U33" s="37">
        <f t="shared" si="72"/>
        <v>651300</v>
      </c>
      <c r="V33" s="37">
        <f t="shared" si="72"/>
        <v>774800</v>
      </c>
      <c r="W33" s="37">
        <f t="shared" si="72"/>
        <v>908700</v>
      </c>
      <c r="X33" s="37">
        <f t="shared" si="72"/>
        <v>1056900</v>
      </c>
      <c r="Y33" s="37">
        <f t="shared" si="72"/>
        <v>1222650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733E-76B7-4DCF-A126-4EB3250511DD}">
  <sheetPr>
    <tabColor theme="8" tint="0.79998168889431442"/>
  </sheetPr>
  <dimension ref="A1:V123"/>
  <sheetViews>
    <sheetView zoomScale="145" zoomScaleNormal="145" workbookViewId="0"/>
  </sheetViews>
  <sheetFormatPr defaultColWidth="8.83203125" defaultRowHeight="10.5" x14ac:dyDescent="0.5"/>
  <cols>
    <col min="1" max="1" width="31.5" style="14" bestFit="1" customWidth="1"/>
    <col min="2" max="2" width="8.9140625" style="23" bestFit="1" customWidth="1"/>
    <col min="3" max="3" width="8.9140625" style="14" bestFit="1" customWidth="1"/>
    <col min="4" max="7" width="9.33203125" style="14" bestFit="1" customWidth="1"/>
    <col min="8" max="16384" width="8.83203125" style="14"/>
  </cols>
  <sheetData>
    <row r="1" spans="1:7" s="13" customFormat="1" x14ac:dyDescent="0.5">
      <c r="A1" s="15" t="s">
        <v>205</v>
      </c>
      <c r="B1" s="20"/>
    </row>
    <row r="2" spans="1:7" s="13" customFormat="1" x14ac:dyDescent="0.5">
      <c r="B2" s="20"/>
    </row>
    <row r="3" spans="1:7" s="13" customFormat="1" x14ac:dyDescent="0.5">
      <c r="B3" s="20"/>
    </row>
    <row r="4" spans="1:7" s="13" customFormat="1" ht="11.25" thickBot="1" x14ac:dyDescent="0.65">
      <c r="A4" s="15" t="s">
        <v>209</v>
      </c>
      <c r="B4" s="20"/>
    </row>
    <row r="5" spans="1:7" s="13" customFormat="1" ht="11.5" thickTop="1" x14ac:dyDescent="0.55000000000000004">
      <c r="A5" s="13" t="s">
        <v>258</v>
      </c>
      <c r="B5" s="61">
        <v>1</v>
      </c>
      <c r="C5" s="59" t="s">
        <v>210</v>
      </c>
    </row>
    <row r="6" spans="1:7" s="13" customFormat="1" x14ac:dyDescent="0.5">
      <c r="A6" s="13" t="s">
        <v>122</v>
      </c>
      <c r="B6" s="62">
        <v>35</v>
      </c>
    </row>
    <row r="7" spans="1:7" s="13" customFormat="1" ht="11.25" thickBot="1" x14ac:dyDescent="0.65">
      <c r="A7" s="13" t="s">
        <v>124</v>
      </c>
      <c r="B7" s="63">
        <v>0.25</v>
      </c>
    </row>
    <row r="8" spans="1:7" s="13" customFormat="1" ht="12" thickTop="1" thickBot="1" x14ac:dyDescent="0.65">
      <c r="B8" s="77"/>
    </row>
    <row r="9" spans="1:7" s="13" customFormat="1" ht="11.5" thickTop="1" x14ac:dyDescent="0.55000000000000004">
      <c r="A9" s="13" t="s">
        <v>257</v>
      </c>
      <c r="B9" s="61">
        <v>1</v>
      </c>
      <c r="C9" s="59" t="s">
        <v>210</v>
      </c>
    </row>
    <row r="10" spans="1:7" s="13" customFormat="1" ht="11.25" thickBot="1" x14ac:dyDescent="0.65">
      <c r="A10" s="13" t="s">
        <v>244</v>
      </c>
      <c r="B10" s="79">
        <v>3</v>
      </c>
    </row>
    <row r="11" spans="1:7" s="13" customFormat="1" ht="12" thickTop="1" thickBot="1" x14ac:dyDescent="0.65">
      <c r="B11" s="82"/>
    </row>
    <row r="12" spans="1:7" s="13" customFormat="1" ht="11.5" thickTop="1" x14ac:dyDescent="0.55000000000000004">
      <c r="A12" s="13" t="s">
        <v>259</v>
      </c>
      <c r="B12" s="61">
        <v>1</v>
      </c>
      <c r="C12" s="59" t="s">
        <v>210</v>
      </c>
    </row>
    <row r="13" spans="1:7" s="13" customFormat="1" ht="11.5" thickBot="1" x14ac:dyDescent="0.7">
      <c r="A13" s="13" t="s">
        <v>251</v>
      </c>
      <c r="B13" s="63">
        <v>0.2</v>
      </c>
      <c r="C13" s="59"/>
    </row>
    <row r="14" spans="1:7" s="13" customFormat="1" ht="11.25" thickTop="1" x14ac:dyDescent="0.5">
      <c r="B14" s="20"/>
    </row>
    <row r="15" spans="1:7" s="13" customFormat="1" x14ac:dyDescent="0.5">
      <c r="A15" s="15" t="s">
        <v>119</v>
      </c>
      <c r="B15" s="60">
        <v>2022</v>
      </c>
      <c r="C15" s="15">
        <f>B15+1</f>
        <v>2023</v>
      </c>
      <c r="D15" s="15">
        <f t="shared" ref="D15:G15" si="0">C15+1</f>
        <v>2024</v>
      </c>
      <c r="E15" s="15">
        <f t="shared" si="0"/>
        <v>2025</v>
      </c>
      <c r="F15" s="15">
        <f t="shared" si="0"/>
        <v>2026</v>
      </c>
      <c r="G15" s="15">
        <f t="shared" si="0"/>
        <v>2027</v>
      </c>
    </row>
    <row r="16" spans="1:7" s="13" customFormat="1" x14ac:dyDescent="0.5">
      <c r="B16" s="20"/>
    </row>
    <row r="17" spans="1:22" s="13" customFormat="1" x14ac:dyDescent="0.5">
      <c r="B17" s="20"/>
    </row>
    <row r="18" spans="1:22" x14ac:dyDescent="0.5">
      <c r="A18" s="31" t="s">
        <v>260</v>
      </c>
      <c r="B18" s="20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x14ac:dyDescent="0.5">
      <c r="A19" s="27" t="s">
        <v>261</v>
      </c>
      <c r="B19" s="21">
        <f>SUMIF(Operational!$B$3:$Y$3,Highlights!B$15,Operational!$B7:$Y7)</f>
        <v>398</v>
      </c>
      <c r="C19" s="16">
        <f>SUMIF(Operational!$B$3:$Y$3,Highlights!C$15,Operational!$B7:$Y7)</f>
        <v>945</v>
      </c>
      <c r="D19" s="16">
        <f>SUMIF(Operational!$B$3:$Y$3,Highlights!D$15,Operational!$B7:$Y7)</f>
        <v>2199</v>
      </c>
      <c r="E19" s="16">
        <f>SUMIF(Operational!$B$3:$Y$3,Highlights!E$15,Operational!$B7:$Y7)</f>
        <v>5368</v>
      </c>
      <c r="F19" s="16">
        <f>SUMIF(Operational!$B$3:$Y$3,Highlights!F$15,Operational!$B7:$Y7)</f>
        <v>13105</v>
      </c>
      <c r="G19" s="16">
        <f>SUMIF(Operational!$B$3:$Y$3,Highlights!G$15,Operational!$B7:$Y7)</f>
        <v>31995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x14ac:dyDescent="0.5">
      <c r="A20" s="27" t="s">
        <v>262</v>
      </c>
      <c r="B20" s="21">
        <f>SUMIF(Operational!$B$3:$Y$3,Highlights!B$15,Operational!$B8:$Y8)</f>
        <v>0</v>
      </c>
      <c r="C20" s="16">
        <f>SUMIF(Operational!$B$3:$Y$3,Highlights!C$15,Operational!$B8:$Y8)</f>
        <v>0</v>
      </c>
      <c r="D20" s="16">
        <f>SUMIF(Operational!$B$3:$Y$3,Highlights!D$15,Operational!$B8:$Y8)</f>
        <v>405</v>
      </c>
      <c r="E20" s="16">
        <f>SUMIF(Operational!$B$3:$Y$3,Highlights!E$15,Operational!$B8:$Y8)</f>
        <v>5670</v>
      </c>
      <c r="F20" s="16">
        <f>SUMIF(Operational!$B$3:$Y$3,Highlights!F$15,Operational!$B8:$Y8)</f>
        <v>12150</v>
      </c>
      <c r="G20" s="16">
        <f>SUMIF(Operational!$B$3:$Y$3,Highlights!G$15,Operational!$B8:$Y8)</f>
        <v>18630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x14ac:dyDescent="0.5">
      <c r="A21" s="57" t="s">
        <v>263</v>
      </c>
      <c r="B21" s="56">
        <f t="shared" ref="B21:F21" si="1">SUM(B19:B20)</f>
        <v>398</v>
      </c>
      <c r="C21" s="55">
        <f t="shared" si="1"/>
        <v>945</v>
      </c>
      <c r="D21" s="55">
        <f t="shared" si="1"/>
        <v>2604</v>
      </c>
      <c r="E21" s="55">
        <f t="shared" si="1"/>
        <v>11038</v>
      </c>
      <c r="F21" s="55">
        <f t="shared" si="1"/>
        <v>25255</v>
      </c>
      <c r="G21" s="55">
        <f>SUM(G19:G20)</f>
        <v>50625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x14ac:dyDescent="0.5">
      <c r="A22" s="27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x14ac:dyDescent="0.5">
      <c r="A23" s="31" t="s">
        <v>264</v>
      </c>
    </row>
    <row r="24" spans="1:22" x14ac:dyDescent="0.5">
      <c r="A24" s="27" t="s">
        <v>261</v>
      </c>
      <c r="B24" s="24">
        <f>SUMIF(Operational!$B$3:$Y$3,Highlights!B$15,Operational!$B17:$Y17)</f>
        <v>96</v>
      </c>
      <c r="C24" s="14">
        <f>SUMIF(Operational!$B$3:$Y$3,Highlights!C$15,Operational!$B17:$Y17)</f>
        <v>231</v>
      </c>
      <c r="D24" s="14">
        <f>SUMIF(Operational!$B$3:$Y$3,Highlights!D$15,Operational!$B17:$Y17)</f>
        <v>697</v>
      </c>
      <c r="E24" s="14">
        <f>SUMIF(Operational!$B$3:$Y$3,Highlights!E$15,Operational!$B17:$Y17)</f>
        <v>2379</v>
      </c>
      <c r="F24" s="14">
        <f>SUMIF(Operational!$B$3:$Y$3,Highlights!F$15,Operational!$B17:$Y17)</f>
        <v>8400</v>
      </c>
      <c r="G24" s="14">
        <f>SUMIF(Operational!$B$3:$Y$3,Highlights!G$15,Operational!$B17:$Y17)</f>
        <v>18090</v>
      </c>
    </row>
    <row r="25" spans="1:22" x14ac:dyDescent="0.5">
      <c r="A25" s="27" t="s">
        <v>262</v>
      </c>
      <c r="B25" s="24">
        <f>SUMIF(Operational!$B$3:$Y$3,Highlights!B$15,Operational!$B18:$Y18)</f>
        <v>0</v>
      </c>
      <c r="C25" s="14">
        <f>SUMIF(Operational!$B$3:$Y$3,Highlights!C$15,Operational!$B18:$Y18)</f>
        <v>0</v>
      </c>
      <c r="D25" s="14">
        <f>SUMIF(Operational!$B$3:$Y$3,Highlights!D$15,Operational!$B18:$Y18)</f>
        <v>0</v>
      </c>
      <c r="E25" s="14">
        <f>SUMIF(Operational!$B$3:$Y$3,Highlights!E$15,Operational!$B18:$Y18)</f>
        <v>1094</v>
      </c>
      <c r="F25" s="14">
        <f>SUMIF(Operational!$B$3:$Y$3,Highlights!F$15,Operational!$B18:$Y18)</f>
        <v>6562</v>
      </c>
      <c r="G25" s="14">
        <f>SUMIF(Operational!$B$3:$Y$3,Highlights!G$15,Operational!$B18:$Y18)</f>
        <v>12394</v>
      </c>
    </row>
    <row r="26" spans="1:22" x14ac:dyDescent="0.5">
      <c r="A26" s="14" t="s">
        <v>265</v>
      </c>
      <c r="B26" s="25">
        <f>SUMIF(Operational!$B$3:$Y$3,Highlights!B$15,Operational!$B23:$Y23)/SUMIF(Operational!$B$3:$Y$3,Highlights!B$15,Operational!$B24:$Y24)</f>
        <v>4.1666666666666664E-2</v>
      </c>
      <c r="C26" s="19">
        <f>SUMIF(Operational!$B$3:$Y$3,Highlights!C$15,Operational!$B23:$Y23)/SUMIF(Operational!$B$3:$Y$3,Highlights!C$15,Operational!$B24:$Y24)</f>
        <v>0.18181818181818182</v>
      </c>
      <c r="D26" s="19">
        <f>SUMIF(Operational!$B$3:$Y$3,Highlights!D$15,Operational!$B23:$Y23)/SUMIF(Operational!$B$3:$Y$3,Highlights!D$15,Operational!$B24:$Y24)</f>
        <v>0.25968436154949787</v>
      </c>
      <c r="E26" s="19">
        <f>SUMIF(Operational!$B$3:$Y$3,Highlights!E$15,Operational!$B23:$Y23)/SUMIF(Operational!$B$3:$Y$3,Highlights!E$15,Operational!$B24:$Y24)</f>
        <v>0.25539879067088972</v>
      </c>
      <c r="F26" s="19">
        <f>SUMIF(Operational!$B$3:$Y$3,Highlights!F$15,Operational!$B23:$Y23)/SUMIF(Operational!$B$3:$Y$3,Highlights!F$15,Operational!$B24:$Y24)</f>
        <v>0.22456890790001335</v>
      </c>
      <c r="G26" s="19">
        <f>SUMIF(Operational!$B$3:$Y$3,Highlights!G$15,Operational!$B23:$Y23)/SUMIF(Operational!$B$3:$Y$3,Highlights!G$15,Operational!$B24:$Y24)</f>
        <v>0.23737042382889384</v>
      </c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x14ac:dyDescent="0.5">
      <c r="A27" s="27"/>
      <c r="B27" s="24"/>
    </row>
    <row r="28" spans="1:22" x14ac:dyDescent="0.5">
      <c r="A28" s="83" t="s">
        <v>206</v>
      </c>
      <c r="B28" s="24"/>
    </row>
    <row r="29" spans="1:22" x14ac:dyDescent="0.5">
      <c r="A29" s="27" t="s">
        <v>266</v>
      </c>
      <c r="B29" s="23">
        <f>'P&amp;L-A'!F8</f>
        <v>528843.1399999999</v>
      </c>
      <c r="C29" s="14">
        <f>'P&amp;L-A'!G8</f>
        <v>1404773.232350464</v>
      </c>
      <c r="D29" s="14">
        <f>'P&amp;L-A'!H8</f>
        <v>3735273.750289062</v>
      </c>
      <c r="E29" s="14">
        <f>'P&amp;L-A'!I8</f>
        <v>17984806.447873689</v>
      </c>
      <c r="F29" s="14">
        <f>'P&amp;L-A'!J8</f>
        <v>76323199.33562912</v>
      </c>
      <c r="G29" s="14">
        <f>'P&amp;L-A'!K8</f>
        <v>156114334.3155008</v>
      </c>
    </row>
    <row r="30" spans="1:22" x14ac:dyDescent="0.5">
      <c r="A30" s="27" t="s">
        <v>249</v>
      </c>
      <c r="B30" s="23">
        <f>'P&amp;L-A'!F9</f>
        <v>33107.29</v>
      </c>
      <c r="C30" s="14">
        <f>'P&amp;L-A'!G9</f>
        <v>29531.25</v>
      </c>
      <c r="D30" s="14">
        <f>'P&amp;L-A'!H9</f>
        <v>594170.58823529421</v>
      </c>
      <c r="E30" s="14">
        <f>'P&amp;L-A'!I9</f>
        <v>6701825.7352941185</v>
      </c>
      <c r="F30" s="14">
        <f>'P&amp;L-A'!J9</f>
        <v>15388536.397058826</v>
      </c>
      <c r="G30" s="14">
        <f>'P&amp;L-A'!K9</f>
        <v>24947678.308823533</v>
      </c>
    </row>
    <row r="31" spans="1:22" x14ac:dyDescent="0.5">
      <c r="A31" s="57" t="s">
        <v>250</v>
      </c>
      <c r="B31" s="56">
        <f>'P&amp;L-A'!F11</f>
        <v>562353.54999999993</v>
      </c>
      <c r="C31" s="55">
        <f>'P&amp;L-A'!G11</f>
        <v>1434304.482350464</v>
      </c>
      <c r="D31" s="55">
        <f>'P&amp;L-A'!H11</f>
        <v>4329444.3385243565</v>
      </c>
      <c r="E31" s="55">
        <f>'P&amp;L-A'!I11</f>
        <v>24686632.183167808</v>
      </c>
      <c r="F31" s="55">
        <f>'P&amp;L-A'!J11</f>
        <v>91711735.73268795</v>
      </c>
      <c r="G31" s="55">
        <f>'P&amp;L-A'!K11</f>
        <v>181062012.62432432</v>
      </c>
    </row>
    <row r="32" spans="1:22" x14ac:dyDescent="0.5">
      <c r="A32" s="27"/>
    </row>
    <row r="33" spans="1:22" x14ac:dyDescent="0.5">
      <c r="A33" s="57" t="s">
        <v>150</v>
      </c>
      <c r="B33" s="56">
        <f>'P&amp;L-A'!F21</f>
        <v>131693.39999999997</v>
      </c>
      <c r="C33" s="55">
        <f>'P&amp;L-A'!G21</f>
        <v>606772.76293170173</v>
      </c>
      <c r="D33" s="55">
        <f>'P&amp;L-A'!H21</f>
        <v>1675652.8679361213</v>
      </c>
      <c r="E33" s="55">
        <f>'P&amp;L-A'!I21</f>
        <v>8615551.5949325133</v>
      </c>
      <c r="F33" s="55">
        <f>'P&amp;L-A'!J21</f>
        <v>32777066.615040891</v>
      </c>
      <c r="G33" s="55">
        <f>'P&amp;L-A'!K21</f>
        <v>67586009.977265507</v>
      </c>
    </row>
    <row r="34" spans="1:22" x14ac:dyDescent="0.5">
      <c r="A34" s="69" t="s">
        <v>208</v>
      </c>
      <c r="B34" s="70">
        <f t="shared" ref="B34:G34" si="2">B33/B31</f>
        <v>0.23418257073330467</v>
      </c>
      <c r="C34" s="71">
        <f t="shared" si="2"/>
        <v>0.42304320344683988</v>
      </c>
      <c r="D34" s="71">
        <f t="shared" si="2"/>
        <v>0.38703647325496027</v>
      </c>
      <c r="E34" s="71">
        <f t="shared" si="2"/>
        <v>0.34899663635799183</v>
      </c>
      <c r="F34" s="71">
        <f t="shared" si="2"/>
        <v>0.35739228303972082</v>
      </c>
      <c r="G34" s="71">
        <f t="shared" si="2"/>
        <v>0.37327548168536062</v>
      </c>
    </row>
    <row r="35" spans="1:22" x14ac:dyDescent="0.5">
      <c r="A35" s="27"/>
      <c r="B35" s="58"/>
      <c r="C35" s="54"/>
      <c r="D35" s="54"/>
      <c r="E35" s="54"/>
      <c r="F35" s="54"/>
      <c r="G35" s="54"/>
    </row>
    <row r="36" spans="1:22" x14ac:dyDescent="0.5">
      <c r="A36" s="27" t="s">
        <v>211</v>
      </c>
      <c r="B36" s="23">
        <f>-'P&amp;L-A'!F24</f>
        <v>-36098.899999999994</v>
      </c>
      <c r="C36" s="14">
        <f>-'P&amp;L-A'!G24</f>
        <v>-76326.17300000001</v>
      </c>
      <c r="D36" s="14">
        <f>-'P&amp;L-A'!H24</f>
        <v>-171007.41410156252</v>
      </c>
      <c r="E36" s="14">
        <f>-'P&amp;L-A'!I24</f>
        <v>-417498.56958389294</v>
      </c>
      <c r="F36" s="14">
        <f>-'P&amp;L-A'!J24</f>
        <v>-1019283.6171481761</v>
      </c>
      <c r="G36" s="14">
        <f>-'P&amp;L-A'!K24</f>
        <v>-2488485.3934281641</v>
      </c>
    </row>
    <row r="37" spans="1:22" x14ac:dyDescent="0.5">
      <c r="A37" s="14" t="s">
        <v>212</v>
      </c>
      <c r="B37" s="23">
        <f>-'P&amp;L-A'!F31-B36</f>
        <v>-1095248.8400000003</v>
      </c>
      <c r="C37" s="14">
        <f>-'P&amp;L-A'!G31-C36</f>
        <v>-1239112.2374697994</v>
      </c>
      <c r="D37" s="14">
        <f>-'P&amp;L-A'!H31-D36</f>
        <v>-2151978.1583756609</v>
      </c>
      <c r="E37" s="14">
        <f>-'P&amp;L-A'!I31-E36</f>
        <v>-8220721.6225722842</v>
      </c>
      <c r="F37" s="14">
        <f>-'P&amp;L-A'!J31-F36</f>
        <v>-21771218.356892213</v>
      </c>
      <c r="G37" s="14">
        <f>-'P&amp;L-A'!K31-G36</f>
        <v>-42532867.465214856</v>
      </c>
    </row>
    <row r="38" spans="1:22" x14ac:dyDescent="0.5">
      <c r="A38" s="55" t="s">
        <v>207</v>
      </c>
      <c r="B38" s="56">
        <f>'P&amp;L-A'!F35</f>
        <v>-999654.34000000032</v>
      </c>
      <c r="C38" s="55">
        <f>'P&amp;L-A'!G35</f>
        <v>-708665.64753809758</v>
      </c>
      <c r="D38" s="55">
        <f>'P&amp;L-A'!H35</f>
        <v>-647332.70454110205</v>
      </c>
      <c r="E38" s="55">
        <f>'P&amp;L-A'!I35</f>
        <v>-22668.597223663703</v>
      </c>
      <c r="F38" s="55">
        <f>'P&amp;L-A'!J35</f>
        <v>9986564.6410005018</v>
      </c>
      <c r="G38" s="55">
        <f>'P&amp;L-A'!K35</f>
        <v>22564657.118622489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22" ht="10.75" x14ac:dyDescent="0.55000000000000004">
      <c r="A39" s="39" t="s">
        <v>217</v>
      </c>
      <c r="B39" s="70">
        <f t="shared" ref="B39:G39" si="3">B38/B31</f>
        <v>-1.7776260859382864</v>
      </c>
      <c r="C39" s="71">
        <f t="shared" si="3"/>
        <v>-0.49408312966907347</v>
      </c>
      <c r="D39" s="71">
        <f t="shared" si="3"/>
        <v>-0.14951865734385172</v>
      </c>
      <c r="E39" s="71">
        <f t="shared" si="3"/>
        <v>-9.1825393822329198E-4</v>
      </c>
      <c r="F39" s="71">
        <f t="shared" si="3"/>
        <v>0.10889080400907825</v>
      </c>
      <c r="G39" s="71">
        <f t="shared" si="3"/>
        <v>0.124623916367486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1" spans="1:22" x14ac:dyDescent="0.5">
      <c r="A41" s="14" t="s">
        <v>213</v>
      </c>
      <c r="B41" s="64">
        <f>SUMIF('Staff costs'!$E$2:$Y$2,Highlights!B$53,'Staff costs'!$E$102:$Y$102)</f>
        <v>10</v>
      </c>
      <c r="C41" s="68">
        <f>SUMIF('Staff costs'!$E$2:$Y$2,Highlights!C$53,'Staff costs'!$E$102:$Y$102)</f>
        <v>15</v>
      </c>
      <c r="D41" s="68">
        <f>SUMIF('Staff costs'!$E$2:$Y$2,Highlights!D$53,'Staff costs'!$E$102:$Y$102)</f>
        <v>46</v>
      </c>
      <c r="E41" s="68">
        <f>SUMIF('Staff costs'!$E$2:$Y$2,Highlights!E$53,'Staff costs'!$E$102:$Y$102)</f>
        <v>166</v>
      </c>
      <c r="F41" s="68">
        <f>SUMIF('Staff costs'!$E$2:$Y$2,Highlights!F$53,'Staff costs'!$E$102:$Y$102)</f>
        <v>355</v>
      </c>
      <c r="G41" s="68">
        <f>SUMIF('Staff costs'!$E$2:$Y$2,Highlights!G$53,'Staff costs'!$E$102:$Y$102)</f>
        <v>661</v>
      </c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</row>
    <row r="42" spans="1:22" x14ac:dyDescent="0.5">
      <c r="C42" s="19"/>
      <c r="D42" s="19"/>
      <c r="E42" s="19"/>
      <c r="F42" s="19"/>
      <c r="G42" s="19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</row>
    <row r="43" spans="1:22" x14ac:dyDescent="0.5">
      <c r="A43" s="31" t="s">
        <v>243</v>
      </c>
      <c r="C43" s="19"/>
      <c r="D43" s="19"/>
      <c r="E43" s="19"/>
      <c r="F43" s="19"/>
      <c r="G43" s="19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</row>
    <row r="44" spans="1:22" x14ac:dyDescent="0.5">
      <c r="A44" s="14" t="s">
        <v>267</v>
      </c>
      <c r="C44" s="32">
        <f t="shared" ref="C44:F44" si="4">C24/144000</f>
        <v>1.6041666666666667E-3</v>
      </c>
      <c r="D44" s="32">
        <f t="shared" si="4"/>
        <v>4.8402777777777775E-3</v>
      </c>
      <c r="E44" s="32">
        <f t="shared" si="4"/>
        <v>1.6520833333333332E-2</v>
      </c>
      <c r="F44" s="32">
        <f t="shared" si="4"/>
        <v>5.8333333333333334E-2</v>
      </c>
      <c r="G44" s="32">
        <f>G24/144000</f>
        <v>0.12562499999999999</v>
      </c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</row>
    <row r="45" spans="1:22" x14ac:dyDescent="0.5">
      <c r="A45" s="14" t="s">
        <v>268</v>
      </c>
      <c r="C45" s="32">
        <f t="shared" ref="C45:F45" si="5">C25/120000</f>
        <v>0</v>
      </c>
      <c r="D45" s="32">
        <f t="shared" si="5"/>
        <v>0</v>
      </c>
      <c r="E45" s="32">
        <f t="shared" si="5"/>
        <v>9.116666666666667E-3</v>
      </c>
      <c r="F45" s="32">
        <f t="shared" si="5"/>
        <v>5.4683333333333334E-2</v>
      </c>
      <c r="G45" s="32">
        <f>G25/120000</f>
        <v>0.10328333333333334</v>
      </c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</row>
    <row r="46" spans="1:22" x14ac:dyDescent="0.5">
      <c r="C46" s="19"/>
      <c r="D46" s="19"/>
      <c r="E46" s="19"/>
      <c r="F46" s="19"/>
      <c r="G46" s="19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</row>
    <row r="47" spans="1:22" x14ac:dyDescent="0.5">
      <c r="A47" s="78" t="s">
        <v>242</v>
      </c>
      <c r="C47" s="19"/>
      <c r="D47" s="19"/>
      <c r="E47" s="19"/>
      <c r="F47" s="19"/>
      <c r="G47" s="19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</row>
    <row r="48" spans="1:22" ht="10.75" x14ac:dyDescent="0.55000000000000004">
      <c r="A48" s="39" t="s">
        <v>215</v>
      </c>
      <c r="B48" s="72">
        <f t="shared" ref="B48:G48" si="6">B31/B41</f>
        <v>56235.354999999996</v>
      </c>
      <c r="C48" s="73">
        <f t="shared" si="6"/>
        <v>95620.298823364268</v>
      </c>
      <c r="D48" s="73">
        <f t="shared" si="6"/>
        <v>94118.355185312103</v>
      </c>
      <c r="E48" s="73">
        <f t="shared" si="6"/>
        <v>148714.65170583015</v>
      </c>
      <c r="F48" s="73">
        <f t="shared" si="6"/>
        <v>258342.91755686747</v>
      </c>
      <c r="G48" s="73">
        <f t="shared" si="6"/>
        <v>273921.35041501408</v>
      </c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</row>
    <row r="49" spans="1:22" ht="10.75" x14ac:dyDescent="0.55000000000000004">
      <c r="A49" s="39" t="s">
        <v>219</v>
      </c>
      <c r="B49" s="72">
        <f>B33/B41</f>
        <v>13169.339999999997</v>
      </c>
      <c r="C49" s="73">
        <f t="shared" ref="C49:G49" si="7">C33/C41</f>
        <v>40451.517528780118</v>
      </c>
      <c r="D49" s="73">
        <f t="shared" si="7"/>
        <v>36427.236259480895</v>
      </c>
      <c r="E49" s="73">
        <f t="shared" si="7"/>
        <v>51900.913222485018</v>
      </c>
      <c r="F49" s="73">
        <f t="shared" si="7"/>
        <v>92329.76511279124</v>
      </c>
      <c r="G49" s="73">
        <f t="shared" si="7"/>
        <v>102248.12402006885</v>
      </c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 ht="10.75" x14ac:dyDescent="0.55000000000000004">
      <c r="A50" s="39" t="s">
        <v>216</v>
      </c>
      <c r="B50" s="74">
        <f t="shared" ref="B50:G50" si="8">B38/B41</f>
        <v>-99965.434000000037</v>
      </c>
      <c r="C50" s="73">
        <f t="shared" si="8"/>
        <v>-47244.376502539839</v>
      </c>
      <c r="D50" s="73">
        <f t="shared" si="8"/>
        <v>-14072.45009871961</v>
      </c>
      <c r="E50" s="73">
        <f t="shared" si="8"/>
        <v>-136.55781460038375</v>
      </c>
      <c r="F50" s="73">
        <f t="shared" si="8"/>
        <v>28131.168002818315</v>
      </c>
      <c r="G50" s="73">
        <f t="shared" si="8"/>
        <v>34137.151465389543</v>
      </c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</row>
    <row r="51" spans="1:22" ht="10.75" x14ac:dyDescent="0.55000000000000004">
      <c r="A51" s="39" t="s">
        <v>218</v>
      </c>
      <c r="B51" s="74">
        <f>'P&amp;L-A'!F27/Highlights!B41</f>
        <v>60181.278000000006</v>
      </c>
      <c r="C51" s="73">
        <f>'P&amp;L-A'!G27/Highlights!C41</f>
        <v>46147.830090120282</v>
      </c>
      <c r="D51" s="73">
        <f>'P&amp;L-A'!H27/Highlights!D41</f>
        <v>26696.08695652174</v>
      </c>
      <c r="E51" s="73">
        <f>'P&amp;L-A'!I27/Highlights!E41</f>
        <v>28900.722891566264</v>
      </c>
      <c r="F51" s="73">
        <f>'P&amp;L-A'!J27/Highlights!F41</f>
        <v>37417.57746478873</v>
      </c>
      <c r="G51" s="73">
        <f>'P&amp;L-A'!K27/Highlights!G41</f>
        <v>39690.030257186081</v>
      </c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</row>
    <row r="52" spans="1:22" x14ac:dyDescent="0.5">
      <c r="B52" s="25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spans="1:22" x14ac:dyDescent="0.5">
      <c r="A53" s="65" t="s">
        <v>214</v>
      </c>
      <c r="B53" s="66">
        <v>4</v>
      </c>
      <c r="C53" s="65">
        <f>B53+4</f>
        <v>8</v>
      </c>
      <c r="D53" s="65">
        <f t="shared" ref="D53:G53" si="9">C53+4</f>
        <v>12</v>
      </c>
      <c r="E53" s="65">
        <f t="shared" si="9"/>
        <v>16</v>
      </c>
      <c r="F53" s="65">
        <f t="shared" si="9"/>
        <v>20</v>
      </c>
      <c r="G53" s="65">
        <f t="shared" si="9"/>
        <v>24</v>
      </c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</row>
    <row r="54" spans="1:22" x14ac:dyDescent="0.5">
      <c r="B54" s="25"/>
      <c r="C54" s="17"/>
    </row>
    <row r="55" spans="1:22" x14ac:dyDescent="0.5">
      <c r="B55" s="25"/>
      <c r="C55" s="17"/>
    </row>
    <row r="56" spans="1:22" x14ac:dyDescent="0.5">
      <c r="B56" s="25"/>
      <c r="C56" s="17"/>
    </row>
    <row r="57" spans="1:22" x14ac:dyDescent="0.5">
      <c r="B57" s="25"/>
      <c r="C57" s="17"/>
    </row>
    <row r="58" spans="1:22" x14ac:dyDescent="0.5">
      <c r="B58" s="25"/>
      <c r="C58" s="17"/>
    </row>
    <row r="59" spans="1:22" x14ac:dyDescent="0.5">
      <c r="B59" s="25"/>
      <c r="C59" s="17"/>
    </row>
    <row r="60" spans="1:22" x14ac:dyDescent="0.5">
      <c r="B60" s="25"/>
      <c r="C60" s="17"/>
    </row>
    <row r="61" spans="1:22" x14ac:dyDescent="0.5">
      <c r="B61" s="25"/>
      <c r="C61" s="17"/>
    </row>
    <row r="62" spans="1:22" x14ac:dyDescent="0.5">
      <c r="B62" s="25"/>
      <c r="C62" s="17"/>
    </row>
    <row r="63" spans="1:22" x14ac:dyDescent="0.5">
      <c r="B63" s="25"/>
      <c r="C63" s="17"/>
    </row>
    <row r="64" spans="1:22" x14ac:dyDescent="0.5">
      <c r="B64" s="25"/>
      <c r="C64" s="17"/>
    </row>
    <row r="65" spans="2:3" x14ac:dyDescent="0.5">
      <c r="B65" s="25"/>
      <c r="C65" s="17"/>
    </row>
    <row r="66" spans="2:3" x14ac:dyDescent="0.5">
      <c r="B66" s="25"/>
      <c r="C66" s="17"/>
    </row>
    <row r="67" spans="2:3" x14ac:dyDescent="0.5">
      <c r="B67" s="25"/>
      <c r="C67" s="17"/>
    </row>
    <row r="68" spans="2:3" x14ac:dyDescent="0.5">
      <c r="B68" s="25"/>
      <c r="C68" s="17"/>
    </row>
    <row r="69" spans="2:3" x14ac:dyDescent="0.5">
      <c r="B69" s="25"/>
      <c r="C69" s="17"/>
    </row>
    <row r="70" spans="2:3" x14ac:dyDescent="0.5">
      <c r="B70" s="25"/>
      <c r="C70" s="17"/>
    </row>
    <row r="71" spans="2:3" x14ac:dyDescent="0.5">
      <c r="B71" s="25"/>
      <c r="C71" s="17"/>
    </row>
    <row r="72" spans="2:3" x14ac:dyDescent="0.5">
      <c r="B72" s="25"/>
      <c r="C72" s="17"/>
    </row>
    <row r="73" spans="2:3" x14ac:dyDescent="0.5">
      <c r="B73" s="25"/>
      <c r="C73" s="17"/>
    </row>
    <row r="74" spans="2:3" x14ac:dyDescent="0.5">
      <c r="B74" s="25"/>
      <c r="C74" s="17"/>
    </row>
    <row r="75" spans="2:3" x14ac:dyDescent="0.5">
      <c r="B75" s="25"/>
      <c r="C75" s="17"/>
    </row>
    <row r="76" spans="2:3" x14ac:dyDescent="0.5">
      <c r="B76" s="25"/>
      <c r="C76" s="17"/>
    </row>
    <row r="77" spans="2:3" x14ac:dyDescent="0.5">
      <c r="B77" s="25"/>
      <c r="C77" s="17"/>
    </row>
    <row r="78" spans="2:3" x14ac:dyDescent="0.5">
      <c r="B78" s="25"/>
      <c r="C78" s="17"/>
    </row>
    <row r="79" spans="2:3" x14ac:dyDescent="0.5">
      <c r="B79" s="25"/>
      <c r="C79" s="17"/>
    </row>
    <row r="80" spans="2:3" x14ac:dyDescent="0.5">
      <c r="B80" s="25"/>
      <c r="C80" s="17"/>
    </row>
    <row r="81" spans="2:3" x14ac:dyDescent="0.5">
      <c r="B81" s="25"/>
      <c r="C81" s="17"/>
    </row>
    <row r="82" spans="2:3" x14ac:dyDescent="0.5">
      <c r="B82" s="25"/>
      <c r="C82" s="17"/>
    </row>
    <row r="83" spans="2:3" x14ac:dyDescent="0.5">
      <c r="B83" s="25"/>
      <c r="C83" s="17"/>
    </row>
    <row r="84" spans="2:3" x14ac:dyDescent="0.5">
      <c r="B84" s="25"/>
      <c r="C84" s="17"/>
    </row>
    <row r="85" spans="2:3" x14ac:dyDescent="0.5">
      <c r="B85" s="25"/>
      <c r="C85" s="17"/>
    </row>
    <row r="86" spans="2:3" x14ac:dyDescent="0.5">
      <c r="B86" s="25"/>
      <c r="C86" s="17"/>
    </row>
    <row r="87" spans="2:3" x14ac:dyDescent="0.5">
      <c r="B87" s="25"/>
      <c r="C87" s="17"/>
    </row>
    <row r="88" spans="2:3" x14ac:dyDescent="0.5">
      <c r="B88" s="25"/>
      <c r="C88" s="17"/>
    </row>
    <row r="89" spans="2:3" x14ac:dyDescent="0.5">
      <c r="B89" s="25"/>
      <c r="C89" s="17"/>
    </row>
    <row r="90" spans="2:3" x14ac:dyDescent="0.5">
      <c r="B90" s="25"/>
      <c r="C90" s="17"/>
    </row>
    <row r="91" spans="2:3" x14ac:dyDescent="0.5">
      <c r="B91" s="25"/>
      <c r="C91" s="17"/>
    </row>
    <row r="92" spans="2:3" x14ac:dyDescent="0.5">
      <c r="B92" s="25"/>
      <c r="C92" s="17"/>
    </row>
    <row r="93" spans="2:3" x14ac:dyDescent="0.5">
      <c r="B93" s="25"/>
      <c r="C93" s="17"/>
    </row>
    <row r="94" spans="2:3" x14ac:dyDescent="0.5">
      <c r="B94" s="25"/>
      <c r="C94" s="17"/>
    </row>
    <row r="95" spans="2:3" x14ac:dyDescent="0.5">
      <c r="B95" s="25"/>
      <c r="C95" s="17"/>
    </row>
    <row r="96" spans="2:3" x14ac:dyDescent="0.5">
      <c r="B96" s="25"/>
      <c r="C96" s="17"/>
    </row>
    <row r="97" spans="2:3" x14ac:dyDescent="0.5">
      <c r="B97" s="25"/>
      <c r="C97" s="17"/>
    </row>
    <row r="98" spans="2:3" x14ac:dyDescent="0.5">
      <c r="B98" s="25"/>
      <c r="C98" s="17"/>
    </row>
    <row r="99" spans="2:3" x14ac:dyDescent="0.5">
      <c r="B99" s="25"/>
      <c r="C99" s="17"/>
    </row>
    <row r="100" spans="2:3" x14ac:dyDescent="0.5">
      <c r="B100" s="25"/>
      <c r="C100" s="17"/>
    </row>
    <row r="101" spans="2:3" x14ac:dyDescent="0.5">
      <c r="B101" s="25"/>
      <c r="C101" s="17"/>
    </row>
    <row r="102" spans="2:3" x14ac:dyDescent="0.5">
      <c r="B102" s="25"/>
      <c r="C102" s="17"/>
    </row>
    <row r="103" spans="2:3" x14ac:dyDescent="0.5">
      <c r="B103" s="25"/>
      <c r="C103" s="17"/>
    </row>
    <row r="104" spans="2:3" x14ac:dyDescent="0.5">
      <c r="B104" s="25"/>
      <c r="C104" s="17"/>
    </row>
    <row r="105" spans="2:3" x14ac:dyDescent="0.5">
      <c r="B105" s="25"/>
      <c r="C105" s="17"/>
    </row>
    <row r="106" spans="2:3" x14ac:dyDescent="0.5">
      <c r="B106" s="25"/>
      <c r="C106" s="17"/>
    </row>
    <row r="107" spans="2:3" x14ac:dyDescent="0.5">
      <c r="B107" s="25"/>
      <c r="C107" s="17"/>
    </row>
    <row r="108" spans="2:3" x14ac:dyDescent="0.5">
      <c r="B108" s="25"/>
      <c r="C108" s="17"/>
    </row>
    <row r="109" spans="2:3" x14ac:dyDescent="0.5">
      <c r="B109" s="25"/>
      <c r="C109" s="17"/>
    </row>
    <row r="110" spans="2:3" x14ac:dyDescent="0.5">
      <c r="B110" s="25"/>
      <c r="C110" s="17"/>
    </row>
    <row r="111" spans="2:3" x14ac:dyDescent="0.5">
      <c r="B111" s="25"/>
      <c r="C111" s="17"/>
    </row>
    <row r="112" spans="2:3" x14ac:dyDescent="0.5">
      <c r="B112" s="25"/>
      <c r="C112" s="17"/>
    </row>
    <row r="113" spans="2:3" x14ac:dyDescent="0.5">
      <c r="B113" s="25"/>
      <c r="C113" s="17"/>
    </row>
    <row r="114" spans="2:3" x14ac:dyDescent="0.5">
      <c r="B114" s="25"/>
      <c r="C114" s="17"/>
    </row>
    <row r="115" spans="2:3" x14ac:dyDescent="0.5">
      <c r="B115" s="25"/>
      <c r="C115" s="17"/>
    </row>
    <row r="116" spans="2:3" x14ac:dyDescent="0.5">
      <c r="B116" s="25"/>
      <c r="C116" s="17"/>
    </row>
    <row r="117" spans="2:3" x14ac:dyDescent="0.5">
      <c r="B117" s="25"/>
      <c r="C117" s="17"/>
    </row>
    <row r="118" spans="2:3" x14ac:dyDescent="0.5">
      <c r="B118" s="25"/>
      <c r="C118" s="17"/>
    </row>
    <row r="119" spans="2:3" x14ac:dyDescent="0.5">
      <c r="B119" s="25"/>
      <c r="C119" s="17"/>
    </row>
    <row r="120" spans="2:3" x14ac:dyDescent="0.5">
      <c r="B120" s="25"/>
      <c r="C120" s="17"/>
    </row>
    <row r="121" spans="2:3" x14ac:dyDescent="0.5">
      <c r="B121" s="25"/>
      <c r="C121" s="17"/>
    </row>
    <row r="122" spans="2:3" x14ac:dyDescent="0.5">
      <c r="B122" s="25"/>
      <c r="C122" s="17"/>
    </row>
    <row r="123" spans="2:3" x14ac:dyDescent="0.5">
      <c r="B123" s="25"/>
      <c r="C123" s="17"/>
    </row>
  </sheetData>
  <pageMargins left="0.7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E0575-550E-4BF9-AA0C-196BCD324A44}">
  <sheetPr>
    <tabColor theme="5" tint="0.79998168889431442"/>
  </sheetPr>
  <dimension ref="A1"/>
  <sheetViews>
    <sheetView workbookViewId="0"/>
  </sheetViews>
  <sheetFormatPr defaultRowHeight="14.25" x14ac:dyDescent="0.6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C2B5F-0255-4B58-A9FB-9B9DE44B999D}">
  <sheetPr>
    <tabColor theme="5" tint="0.79998168889431442"/>
  </sheetPr>
  <dimension ref="A1:K42"/>
  <sheetViews>
    <sheetView showGridLines="0" topLeftCell="A2" zoomScale="115" zoomScaleNormal="115" workbookViewId="0">
      <pane xSplit="2" ySplit="4" topLeftCell="C6" activePane="bottomRight" state="frozen"/>
      <selection activeCell="A21" sqref="A21:Q21"/>
      <selection pane="topRight" activeCell="A21" sqref="A21:Q21"/>
      <selection pane="bottomLeft" activeCell="A21" sqref="A21:Q21"/>
      <selection pane="bottomRight" activeCell="B2" sqref="B2"/>
    </sheetView>
  </sheetViews>
  <sheetFormatPr defaultRowHeight="14.25" x14ac:dyDescent="0.65"/>
  <cols>
    <col min="1" max="1" width="1" customWidth="1"/>
    <col min="2" max="2" width="31.58203125" customWidth="1"/>
    <col min="3" max="4" width="10.58203125" customWidth="1"/>
    <col min="5" max="5" width="10.33203125" customWidth="1"/>
    <col min="6" max="6" width="10.4140625" customWidth="1"/>
    <col min="7" max="8" width="10.58203125" customWidth="1"/>
    <col min="9" max="9" width="10.33203125" customWidth="1"/>
    <col min="10" max="10" width="10.4140625" customWidth="1"/>
    <col min="11" max="11" width="10.58203125" customWidth="1"/>
  </cols>
  <sheetData>
    <row r="1" spans="1:11" ht="25.5" customHeight="1" x14ac:dyDescent="0.6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8" customHeight="1" x14ac:dyDescent="0.65">
      <c r="A2" s="34"/>
      <c r="B2" s="52" t="s">
        <v>203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8" customHeight="1" x14ac:dyDescent="0.6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ht="13.4" customHeight="1" x14ac:dyDescent="0.65"/>
    <row r="5" spans="1:11" ht="10.5" customHeight="1" x14ac:dyDescent="0.65">
      <c r="A5" s="1"/>
      <c r="B5" s="2" t="s">
        <v>1</v>
      </c>
      <c r="C5" s="3">
        <v>2019</v>
      </c>
      <c r="D5" s="3">
        <f>C5+1</f>
        <v>2020</v>
      </c>
      <c r="E5" s="3">
        <f t="shared" ref="E5:K5" si="0">D5+1</f>
        <v>2021</v>
      </c>
      <c r="F5" s="3">
        <f t="shared" si="0"/>
        <v>2022</v>
      </c>
      <c r="G5" s="3">
        <f t="shared" si="0"/>
        <v>2023</v>
      </c>
      <c r="H5" s="3">
        <f t="shared" si="0"/>
        <v>2024</v>
      </c>
      <c r="I5" s="3">
        <f t="shared" si="0"/>
        <v>2025</v>
      </c>
      <c r="J5" s="3">
        <f t="shared" si="0"/>
        <v>2026</v>
      </c>
      <c r="K5" s="3">
        <f t="shared" si="0"/>
        <v>2027</v>
      </c>
    </row>
    <row r="6" spans="1:11" ht="13.4" customHeight="1" x14ac:dyDescent="0.65"/>
    <row r="7" spans="1:11" ht="13" customHeight="1" x14ac:dyDescent="0.65">
      <c r="A7" s="35"/>
      <c r="B7" s="35" t="s">
        <v>17</v>
      </c>
      <c r="C7" s="35"/>
      <c r="D7" s="35"/>
      <c r="E7" s="35"/>
      <c r="F7" s="35"/>
      <c r="G7" s="35"/>
      <c r="H7" s="35"/>
      <c r="I7" s="35"/>
      <c r="J7" s="35"/>
      <c r="K7" s="35"/>
    </row>
    <row r="8" spans="1:11" ht="10.5" customHeight="1" x14ac:dyDescent="0.65">
      <c r="B8" s="4" t="s">
        <v>18</v>
      </c>
      <c r="C8" s="5">
        <f>SUMIF('P&amp;L-Q'!$C$4:$AL$4,'P&amp;L-A'!C$5,'P&amp;L-Q'!$C8:$AL8)</f>
        <v>185528.15</v>
      </c>
      <c r="D8" s="5">
        <f>SUMIF('P&amp;L-Q'!$C$4:$AL$4,'P&amp;L-A'!D$5,'P&amp;L-Q'!$C8:$AL8)</f>
        <v>255668.13</v>
      </c>
      <c r="E8" s="5">
        <f>SUMIF('P&amp;L-Q'!$C$4:$AL$4,'P&amp;L-A'!E$5,'P&amp;L-Q'!$C8:$AL8)</f>
        <v>607358.27</v>
      </c>
      <c r="F8" s="5">
        <f>SUMIF('P&amp;L-Q'!$C$4:$AL$4,'P&amp;L-A'!F$5,'P&amp;L-Q'!$C8:$AL8)</f>
        <v>528843.1399999999</v>
      </c>
      <c r="G8" s="5">
        <f>SUMIF('P&amp;L-Q'!$C$4:$AL$4,'P&amp;L-A'!G$5,'P&amp;L-Q'!$C8:$AL8)</f>
        <v>1404773.232350464</v>
      </c>
      <c r="H8" s="5">
        <f>SUMIF('P&amp;L-Q'!$C$4:$AL$4,'P&amp;L-A'!H$5,'P&amp;L-Q'!$C8:$AL8)</f>
        <v>3735273.750289062</v>
      </c>
      <c r="I8" s="5">
        <f>SUMIF('P&amp;L-Q'!$C$4:$AL$4,'P&amp;L-A'!I$5,'P&amp;L-Q'!$C8:$AL8)</f>
        <v>17984806.447873689</v>
      </c>
      <c r="J8" s="5">
        <f>SUMIF('P&amp;L-Q'!$C$4:$AL$4,'P&amp;L-A'!J$5,'P&amp;L-Q'!$C8:$AL8)</f>
        <v>76323199.33562912</v>
      </c>
      <c r="K8" s="5">
        <f>SUMIF('P&amp;L-Q'!$C$4:$AL$4,'P&amp;L-A'!K$5,'P&amp;L-Q'!$C8:$AL8)</f>
        <v>156114334.3155008</v>
      </c>
    </row>
    <row r="9" spans="1:11" ht="10.5" customHeight="1" x14ac:dyDescent="0.65">
      <c r="B9" s="6" t="s">
        <v>19</v>
      </c>
      <c r="C9" s="5">
        <f>SUMIF('P&amp;L-Q'!$C$4:$AL$4,'P&amp;L-A'!C$5,'P&amp;L-Q'!$C9:$AL9)</f>
        <v>10871.08</v>
      </c>
      <c r="D9" s="5">
        <f>SUMIF('P&amp;L-Q'!$C$4:$AL$4,'P&amp;L-A'!D$5,'P&amp;L-Q'!$C9:$AL9)</f>
        <v>1450</v>
      </c>
      <c r="E9" s="5">
        <f>SUMIF('P&amp;L-Q'!$C$4:$AL$4,'P&amp;L-A'!E$5,'P&amp;L-Q'!$C9:$AL9)</f>
        <v>25044.33</v>
      </c>
      <c r="F9" s="5">
        <f>SUMIF('P&amp;L-Q'!$C$4:$AL$4,'P&amp;L-A'!F$5,'P&amp;L-Q'!$C9:$AL9)</f>
        <v>33107.29</v>
      </c>
      <c r="G9" s="5">
        <f>SUMIF('P&amp;L-Q'!$C$4:$AL$4,'P&amp;L-A'!G$5,'P&amp;L-Q'!$C9:$AL9)</f>
        <v>29531.25</v>
      </c>
      <c r="H9" s="5">
        <f>SUMIF('P&amp;L-Q'!$C$4:$AL$4,'P&amp;L-A'!H$5,'P&amp;L-Q'!$C9:$AL9)</f>
        <v>594170.58823529421</v>
      </c>
      <c r="I9" s="5">
        <f>SUMIF('P&amp;L-Q'!$C$4:$AL$4,'P&amp;L-A'!I$5,'P&amp;L-Q'!$C9:$AL9)</f>
        <v>6701825.7352941185</v>
      </c>
      <c r="J9" s="5">
        <f>SUMIF('P&amp;L-Q'!$C$4:$AL$4,'P&amp;L-A'!J$5,'P&amp;L-Q'!$C9:$AL9)</f>
        <v>15388536.397058826</v>
      </c>
      <c r="K9" s="5">
        <f>SUMIF('P&amp;L-Q'!$C$4:$AL$4,'P&amp;L-A'!K$5,'P&amp;L-Q'!$C9:$AL9)</f>
        <v>24947678.308823533</v>
      </c>
    </row>
    <row r="10" spans="1:11" ht="10.5" customHeight="1" x14ac:dyDescent="0.65">
      <c r="B10" s="6" t="s">
        <v>20</v>
      </c>
      <c r="C10" s="5">
        <f>SUMIF('P&amp;L-Q'!$C$4:$AL$4,'P&amp;L-A'!C$5,'P&amp;L-Q'!$C10:$AL10)</f>
        <v>445.57</v>
      </c>
      <c r="D10" s="5">
        <f>SUMIF('P&amp;L-Q'!$C$4:$AL$4,'P&amp;L-A'!D$5,'P&amp;L-Q'!$C10:$AL10)</f>
        <v>313.90999999999997</v>
      </c>
      <c r="E10" s="5">
        <f>SUMIF('P&amp;L-Q'!$C$4:$AL$4,'P&amp;L-A'!E$5,'P&amp;L-Q'!$C10:$AL10)</f>
        <v>43.160000000000004</v>
      </c>
      <c r="F10" s="5">
        <f>SUMIF('P&amp;L-Q'!$C$4:$AL$4,'P&amp;L-A'!F$5,'P&amp;L-Q'!$C10:$AL10)</f>
        <v>403.12</v>
      </c>
      <c r="G10" s="5">
        <f>SUMIF('P&amp;L-Q'!$C$4:$AL$4,'P&amp;L-A'!G$5,'P&amp;L-Q'!$C10:$AL10)</f>
        <v>0</v>
      </c>
      <c r="H10" s="5">
        <f>SUMIF('P&amp;L-Q'!$C$4:$AL$4,'P&amp;L-A'!H$5,'P&amp;L-Q'!$C10:$AL10)</f>
        <v>0</v>
      </c>
      <c r="I10" s="5">
        <f>SUMIF('P&amp;L-Q'!$C$4:$AL$4,'P&amp;L-A'!I$5,'P&amp;L-Q'!$C10:$AL10)</f>
        <v>0</v>
      </c>
      <c r="J10" s="5">
        <f>SUMIF('P&amp;L-Q'!$C$4:$AL$4,'P&amp;L-A'!J$5,'P&amp;L-Q'!$C10:$AL10)</f>
        <v>0</v>
      </c>
      <c r="K10" s="5">
        <f>SUMIF('P&amp;L-Q'!$C$4:$AL$4,'P&amp;L-A'!K$5,'P&amp;L-Q'!$C10:$AL10)</f>
        <v>0</v>
      </c>
    </row>
    <row r="11" spans="1:11" ht="10.5" customHeight="1" x14ac:dyDescent="0.65">
      <c r="A11" s="8" t="s">
        <v>21</v>
      </c>
      <c r="C11" s="9">
        <f t="shared" ref="C11:K11" si="1">SUM(C8:C10)</f>
        <v>196844.79999999999</v>
      </c>
      <c r="D11" s="9">
        <f t="shared" si="1"/>
        <v>257432.04</v>
      </c>
      <c r="E11" s="9">
        <f t="shared" si="1"/>
        <v>632445.76</v>
      </c>
      <c r="F11" s="9">
        <f t="shared" si="1"/>
        <v>562353.54999999993</v>
      </c>
      <c r="G11" s="9">
        <f t="shared" si="1"/>
        <v>1434304.482350464</v>
      </c>
      <c r="H11" s="9">
        <f t="shared" si="1"/>
        <v>4329444.3385243565</v>
      </c>
      <c r="I11" s="9">
        <f t="shared" si="1"/>
        <v>24686632.183167808</v>
      </c>
      <c r="J11" s="9">
        <f t="shared" si="1"/>
        <v>91711735.73268795</v>
      </c>
      <c r="K11" s="9">
        <f t="shared" si="1"/>
        <v>181062012.62432432</v>
      </c>
    </row>
    <row r="12" spans="1:11" ht="13.4" customHeight="1" x14ac:dyDescent="0.65"/>
    <row r="13" spans="1:11" ht="13" customHeight="1" x14ac:dyDescent="0.65">
      <c r="A13" s="35"/>
      <c r="B13" s="35" t="s">
        <v>22</v>
      </c>
      <c r="C13" s="35"/>
      <c r="D13" s="35"/>
      <c r="E13" s="35"/>
      <c r="F13" s="35"/>
      <c r="G13" s="35"/>
      <c r="H13" s="35"/>
      <c r="I13" s="35"/>
      <c r="J13" s="35"/>
      <c r="K13" s="35"/>
    </row>
    <row r="14" spans="1:11" ht="10.5" customHeight="1" x14ac:dyDescent="0.65">
      <c r="B14" s="4" t="s">
        <v>23</v>
      </c>
      <c r="C14" s="5">
        <f>SUMIF('P&amp;L-Q'!$C$4:$AL$4,'P&amp;L-A'!C$5,'P&amp;L-Q'!$C14:$AL14)</f>
        <v>980</v>
      </c>
      <c r="D14" s="5">
        <f>SUMIF('P&amp;L-Q'!$C$4:$AL$4,'P&amp;L-A'!D$5,'P&amp;L-Q'!$C14:$AL14)</f>
        <v>710</v>
      </c>
      <c r="E14" s="5">
        <f>SUMIF('P&amp;L-Q'!$C$4:$AL$4,'P&amp;L-A'!E$5,'P&amp;L-Q'!$C14:$AL14)</f>
        <v>12565.79</v>
      </c>
      <c r="F14" s="5">
        <f>SUMIF('P&amp;L-Q'!$C$4:$AL$4,'P&amp;L-A'!F$5,'P&amp;L-Q'!$C14:$AL14)</f>
        <v>0</v>
      </c>
      <c r="G14" s="5">
        <f>SUMIF('P&amp;L-Q'!$C$4:$AL$4,'P&amp;L-A'!G$5,'P&amp;L-Q'!$C14:$AL14)</f>
        <v>0</v>
      </c>
      <c r="H14" s="5">
        <f>SUMIF('P&amp;L-Q'!$C$4:$AL$4,'P&amp;L-A'!H$5,'P&amp;L-Q'!$C14:$AL14)</f>
        <v>0</v>
      </c>
      <c r="I14" s="5">
        <f>SUMIF('P&amp;L-Q'!$C$4:$AL$4,'P&amp;L-A'!I$5,'P&amp;L-Q'!$C14:$AL14)</f>
        <v>0</v>
      </c>
      <c r="J14" s="5">
        <f>SUMIF('P&amp;L-Q'!$C$4:$AL$4,'P&amp;L-A'!J$5,'P&amp;L-Q'!$C14:$AL14)</f>
        <v>0</v>
      </c>
      <c r="K14" s="5">
        <f>SUMIF('P&amp;L-Q'!$C$4:$AL$4,'P&amp;L-A'!K$5,'P&amp;L-Q'!$C14:$AL14)</f>
        <v>0</v>
      </c>
    </row>
    <row r="15" spans="1:11" ht="10.5" customHeight="1" x14ac:dyDescent="0.65">
      <c r="B15" s="6" t="s">
        <v>269</v>
      </c>
      <c r="C15" s="5">
        <f>SUMIF('P&amp;L-Q'!$C$4:$AL$4,'P&amp;L-A'!C$5,'P&amp;L-Q'!$C15:$AL15)</f>
        <v>5965.98</v>
      </c>
      <c r="D15" s="5">
        <f>SUMIF('P&amp;L-Q'!$C$4:$AL$4,'P&amp;L-A'!D$5,'P&amp;L-Q'!$C15:$AL15)</f>
        <v>18212</v>
      </c>
      <c r="E15" s="5">
        <f>SUMIF('P&amp;L-Q'!$C$4:$AL$4,'P&amp;L-A'!E$5,'P&amp;L-Q'!$C15:$AL15)</f>
        <v>16400.98</v>
      </c>
      <c r="F15" s="5">
        <f>SUMIF('P&amp;L-Q'!$C$4:$AL$4,'P&amp;L-A'!F$5,'P&amp;L-Q'!$C15:$AL15)</f>
        <v>24278.42</v>
      </c>
      <c r="G15" s="5">
        <f>SUMIF('P&amp;L-Q'!$C$4:$AL$4,'P&amp;L-A'!G$5,'P&amp;L-Q'!$C15:$AL15)</f>
        <v>89775</v>
      </c>
      <c r="H15" s="5">
        <f>SUMIF('P&amp;L-Q'!$C$4:$AL$4,'P&amp;L-A'!H$5,'P&amp;L-Q'!$C15:$AL15)</f>
        <v>247380</v>
      </c>
      <c r="I15" s="5">
        <f>SUMIF('P&amp;L-Q'!$C$4:$AL$4,'P&amp;L-A'!I$5,'P&amp;L-Q'!$C15:$AL15)</f>
        <v>1048610</v>
      </c>
      <c r="J15" s="5">
        <f>SUMIF('P&amp;L-Q'!$C$4:$AL$4,'P&amp;L-A'!J$5,'P&amp;L-Q'!$C15:$AL15)</f>
        <v>2399225</v>
      </c>
      <c r="K15" s="5">
        <f>SUMIF('P&amp;L-Q'!$C$4:$AL$4,'P&amp;L-A'!K$5,'P&amp;L-Q'!$C15:$AL15)</f>
        <v>4809375</v>
      </c>
    </row>
    <row r="16" spans="1:11" ht="10.5" customHeight="1" x14ac:dyDescent="0.65">
      <c r="B16" s="6" t="s">
        <v>270</v>
      </c>
      <c r="C16" s="5">
        <f>SUMIF('P&amp;L-Q'!$C$4:$AL$4,'P&amp;L-A'!C$5,'P&amp;L-Q'!$C16:$AL16)</f>
        <v>157978.45000000001</v>
      </c>
      <c r="D16" s="5">
        <f>SUMIF('P&amp;L-Q'!$C$4:$AL$4,'P&amp;L-A'!D$5,'P&amp;L-Q'!$C16:$AL16)</f>
        <v>208224.75</v>
      </c>
      <c r="E16" s="5">
        <f>SUMIF('P&amp;L-Q'!$C$4:$AL$4,'P&amp;L-A'!E$5,'P&amp;L-Q'!$C16:$AL16)</f>
        <v>483483.67000000004</v>
      </c>
      <c r="F16" s="5">
        <f>SUMIF('P&amp;L-Q'!$C$4:$AL$4,'P&amp;L-A'!F$5,'P&amp;L-Q'!$C16:$AL16)</f>
        <v>380455.62</v>
      </c>
      <c r="G16" s="5">
        <f>SUMIF('P&amp;L-Q'!$C$4:$AL$4,'P&amp;L-A'!G$5,'P&amp;L-Q'!$C16:$AL16)</f>
        <v>734816.71941876225</v>
      </c>
      <c r="H16" s="5">
        <f>SUMIF('P&amp;L-Q'!$C$4:$AL$4,'P&amp;L-A'!H$5,'P&amp;L-Q'!$C16:$AL16)</f>
        <v>2064000</v>
      </c>
      <c r="I16" s="5">
        <f>SUMIF('P&amp;L-Q'!$C$4:$AL$4,'P&amp;L-A'!I$5,'P&amp;L-Q'!$C16:$AL16)</f>
        <v>10344000</v>
      </c>
      <c r="J16" s="5">
        <f>SUMIF('P&amp;L-Q'!$C$4:$AL$4,'P&amp;L-A'!J$5,'P&amp;L-Q'!$C16:$AL16)</f>
        <v>46408000</v>
      </c>
      <c r="K16" s="5">
        <f>SUMIF('P&amp;L-Q'!$C$4:$AL$4,'P&amp;L-A'!K$5,'P&amp;L-Q'!$C16:$AL16)</f>
        <v>92992000</v>
      </c>
    </row>
    <row r="17" spans="1:11" ht="10.5" customHeight="1" x14ac:dyDescent="0.65">
      <c r="B17" s="6" t="s">
        <v>271</v>
      </c>
      <c r="C17" s="5">
        <f>SUMIF('P&amp;L-Q'!$C$4:$AL$4,'P&amp;L-A'!C$5,'P&amp;L-Q'!$C17:$AL17)</f>
        <v>7870.58</v>
      </c>
      <c r="D17" s="5">
        <f>SUMIF('P&amp;L-Q'!$C$4:$AL$4,'P&amp;L-A'!D$5,'P&amp;L-Q'!$C17:$AL17)</f>
        <v>0</v>
      </c>
      <c r="E17" s="5">
        <f>SUMIF('P&amp;L-Q'!$C$4:$AL$4,'P&amp;L-A'!E$5,'P&amp;L-Q'!$C17:$AL17)</f>
        <v>15185.58</v>
      </c>
      <c r="F17" s="5">
        <f>SUMIF('P&amp;L-Q'!$C$4:$AL$4,'P&amp;L-A'!F$5,'P&amp;L-Q'!$C17:$AL17)</f>
        <v>25430.28</v>
      </c>
      <c r="G17" s="5">
        <f>SUMIF('P&amp;L-Q'!$C$4:$AL$4,'P&amp;L-A'!G$5,'P&amp;L-Q'!$C17:$AL17)</f>
        <v>0</v>
      </c>
      <c r="H17" s="5">
        <f>SUMIF('P&amp;L-Q'!$C$4:$AL$4,'P&amp;L-A'!H$5,'P&amp;L-Q'!$C17:$AL17)</f>
        <v>329741.4705882353</v>
      </c>
      <c r="I17" s="5">
        <f>SUMIF('P&amp;L-Q'!$C$4:$AL$4,'P&amp;L-A'!I$5,'P&amp;L-Q'!$C17:$AL17)</f>
        <v>4616380.5882352944</v>
      </c>
      <c r="J17" s="5">
        <f>SUMIF('P&amp;L-Q'!$C$4:$AL$4,'P&amp;L-A'!J$5,'P&amp;L-Q'!$C17:$AL17)</f>
        <v>9892244.1176470593</v>
      </c>
      <c r="K17" s="5">
        <f>SUMIF('P&amp;L-Q'!$C$4:$AL$4,'P&amp;L-A'!K$5,'P&amp;L-Q'!$C17:$AL17)</f>
        <v>15168107.647058822</v>
      </c>
    </row>
    <row r="18" spans="1:11" ht="10.5" customHeight="1" x14ac:dyDescent="0.65">
      <c r="B18" s="6" t="s">
        <v>272</v>
      </c>
      <c r="C18" s="5">
        <f>SUMIF('P&amp;L-Q'!$C$4:$AL$4,'P&amp;L-A'!C$5,'P&amp;L-Q'!$C18:$AL18)</f>
        <v>0</v>
      </c>
      <c r="D18" s="5">
        <f>SUMIF('P&amp;L-Q'!$C$4:$AL$4,'P&amp;L-A'!D$5,'P&amp;L-Q'!$C18:$AL18)</f>
        <v>0</v>
      </c>
      <c r="E18" s="5">
        <f>SUMIF('P&amp;L-Q'!$C$4:$AL$4,'P&amp;L-A'!E$5,'P&amp;L-Q'!$C18:$AL18)</f>
        <v>0</v>
      </c>
      <c r="F18" s="5">
        <f>SUMIF('P&amp;L-Q'!$C$4:$AL$4,'P&amp;L-A'!F$5,'P&amp;L-Q'!$C18:$AL18)</f>
        <v>495.83</v>
      </c>
      <c r="G18" s="5">
        <f>SUMIF('P&amp;L-Q'!$C$4:$AL$4,'P&amp;L-A'!G$5,'P&amp;L-Q'!$C18:$AL18)</f>
        <v>2940</v>
      </c>
      <c r="H18" s="5">
        <f>SUMIF('P&amp;L-Q'!$C$4:$AL$4,'P&amp;L-A'!H$5,'P&amp;L-Q'!$C18:$AL18)</f>
        <v>12670</v>
      </c>
      <c r="I18" s="5">
        <f>SUMIF('P&amp;L-Q'!$C$4:$AL$4,'P&amp;L-A'!I$5,'P&amp;L-Q'!$C18:$AL18)</f>
        <v>62090</v>
      </c>
      <c r="J18" s="5">
        <f>SUMIF('P&amp;L-Q'!$C$4:$AL$4,'P&amp;L-A'!J$5,'P&amp;L-Q'!$C18:$AL18)</f>
        <v>235200</v>
      </c>
      <c r="K18" s="5">
        <f>SUMIF('P&amp;L-Q'!$C$4:$AL$4,'P&amp;L-A'!K$5,'P&amp;L-Q'!$C18:$AL18)</f>
        <v>506520</v>
      </c>
    </row>
    <row r="19" spans="1:11" ht="10.5" customHeight="1" x14ac:dyDescent="0.65">
      <c r="A19" s="8" t="s">
        <v>24</v>
      </c>
      <c r="C19" s="9">
        <f t="shared" ref="C19:K19" si="2">SUM(C14:C18)</f>
        <v>172795.01</v>
      </c>
      <c r="D19" s="9">
        <f t="shared" si="2"/>
        <v>227146.75</v>
      </c>
      <c r="E19" s="9">
        <f t="shared" si="2"/>
        <v>527636.02</v>
      </c>
      <c r="F19" s="9">
        <f t="shared" si="2"/>
        <v>430660.14999999997</v>
      </c>
      <c r="G19" s="9">
        <f t="shared" si="2"/>
        <v>827531.71941876225</v>
      </c>
      <c r="H19" s="9">
        <f t="shared" si="2"/>
        <v>2653791.4705882352</v>
      </c>
      <c r="I19" s="9">
        <f t="shared" si="2"/>
        <v>16071080.588235294</v>
      </c>
      <c r="J19" s="9">
        <f t="shared" si="2"/>
        <v>58934669.117647059</v>
      </c>
      <c r="K19" s="9">
        <f t="shared" si="2"/>
        <v>113476002.64705881</v>
      </c>
    </row>
    <row r="20" spans="1:11" ht="13.4" customHeight="1" x14ac:dyDescent="0.65"/>
    <row r="21" spans="1:11" ht="10.5" customHeight="1" x14ac:dyDescent="0.65">
      <c r="B21" s="10" t="s">
        <v>25</v>
      </c>
      <c r="C21" s="11">
        <f t="shared" ref="C21:K21" si="3">(C11 - C19)</f>
        <v>24049.789999999979</v>
      </c>
      <c r="D21" s="11">
        <f t="shared" si="3"/>
        <v>30285.290000000008</v>
      </c>
      <c r="E21" s="11">
        <f t="shared" si="3"/>
        <v>104809.73999999999</v>
      </c>
      <c r="F21" s="11">
        <f t="shared" si="3"/>
        <v>131693.39999999997</v>
      </c>
      <c r="G21" s="11">
        <f t="shared" si="3"/>
        <v>606772.76293170173</v>
      </c>
      <c r="H21" s="11">
        <f t="shared" si="3"/>
        <v>1675652.8679361213</v>
      </c>
      <c r="I21" s="11">
        <f t="shared" si="3"/>
        <v>8615551.5949325133</v>
      </c>
      <c r="J21" s="11">
        <f t="shared" si="3"/>
        <v>32777066.615040891</v>
      </c>
      <c r="K21" s="11">
        <f t="shared" si="3"/>
        <v>67586009.977265507</v>
      </c>
    </row>
    <row r="22" spans="1:11" ht="13.4" customHeight="1" x14ac:dyDescent="0.65"/>
    <row r="23" spans="1:11" ht="13" customHeight="1" x14ac:dyDescent="0.65">
      <c r="A23" s="87" t="s">
        <v>26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1" ht="10.5" customHeight="1" x14ac:dyDescent="0.65">
      <c r="B24" s="4" t="s">
        <v>27</v>
      </c>
      <c r="C24" s="5">
        <f>SUMIF('P&amp;L-Q'!$C$4:$AL$4,'P&amp;L-A'!C$5,'P&amp;L-Q'!$C24:$AL24)</f>
        <v>47306.91</v>
      </c>
      <c r="D24" s="5">
        <f>SUMIF('P&amp;L-Q'!$C$4:$AL$4,'P&amp;L-A'!D$5,'P&amp;L-Q'!$C24:$AL24)</f>
        <v>17182.739999999998</v>
      </c>
      <c r="E24" s="5">
        <f>SUMIF('P&amp;L-Q'!$C$4:$AL$4,'P&amp;L-A'!E$5,'P&amp;L-Q'!$C24:$AL24)</f>
        <v>63624.63</v>
      </c>
      <c r="F24" s="5">
        <f>SUMIF('P&amp;L-Q'!$C$4:$AL$4,'P&amp;L-A'!F$5,'P&amp;L-Q'!$C24:$AL24)</f>
        <v>36098.899999999994</v>
      </c>
      <c r="G24" s="5">
        <f>SUMIF('P&amp;L-Q'!$C$4:$AL$4,'P&amp;L-A'!G$5,'P&amp;L-Q'!$C24:$AL24)</f>
        <v>76326.17300000001</v>
      </c>
      <c r="H24" s="5">
        <f>SUMIF('P&amp;L-Q'!$C$4:$AL$4,'P&amp;L-A'!H$5,'P&amp;L-Q'!$C24:$AL24)</f>
        <v>171007.41410156252</v>
      </c>
      <c r="I24" s="5">
        <f>SUMIF('P&amp;L-Q'!$C$4:$AL$4,'P&amp;L-A'!I$5,'P&amp;L-Q'!$C24:$AL24)</f>
        <v>417498.56958389294</v>
      </c>
      <c r="J24" s="5">
        <f>SUMIF('P&amp;L-Q'!$C$4:$AL$4,'P&amp;L-A'!J$5,'P&amp;L-Q'!$C24:$AL24)</f>
        <v>1019283.6171481761</v>
      </c>
      <c r="K24" s="5">
        <f>SUMIF('P&amp;L-Q'!$C$4:$AL$4,'P&amp;L-A'!K$5,'P&amp;L-Q'!$C24:$AL24)</f>
        <v>2488485.3934281641</v>
      </c>
    </row>
    <row r="25" spans="1:11" ht="10.5" customHeight="1" x14ac:dyDescent="0.65">
      <c r="A25" s="12"/>
      <c r="B25" s="12" t="s">
        <v>28</v>
      </c>
      <c r="C25" s="12"/>
      <c r="D25" s="12"/>
      <c r="E25" s="12"/>
      <c r="F25" s="12"/>
      <c r="G25" s="12"/>
      <c r="H25" s="12"/>
      <c r="I25" s="12"/>
      <c r="J25" s="12"/>
      <c r="K25" s="12"/>
    </row>
    <row r="26" spans="1:11" ht="10.5" customHeight="1" x14ac:dyDescent="0.65">
      <c r="B26" s="6" t="s">
        <v>29</v>
      </c>
      <c r="C26" s="5">
        <f>SUMIF('P&amp;L-Q'!$C$4:$AL$4,'P&amp;L-A'!C$5,'P&amp;L-Q'!$C26:$AL26)</f>
        <v>123536.57999999999</v>
      </c>
      <c r="D26" s="5">
        <f>SUMIF('P&amp;L-Q'!$C$4:$AL$4,'P&amp;L-A'!D$5,'P&amp;L-Q'!$C26:$AL26)</f>
        <v>137337.69999999998</v>
      </c>
      <c r="E26" s="5">
        <f>SUMIF('P&amp;L-Q'!$C$4:$AL$4,'P&amp;L-A'!E$5,'P&amp;L-Q'!$C26:$AL26)</f>
        <v>132414.56</v>
      </c>
      <c r="F26" s="5">
        <f>SUMIF('P&amp;L-Q'!$C$4:$AL$4,'P&amp;L-A'!F$5,'P&amp;L-Q'!$C26:$AL26)</f>
        <v>190061.05</v>
      </c>
      <c r="G26" s="5">
        <f>SUMIF('P&amp;L-Q'!$C$4:$AL$4,'P&amp;L-A'!G$5,'P&amp;L-Q'!$C26:$AL26)</f>
        <v>179923.9268341127</v>
      </c>
      <c r="H26" s="5">
        <f>SUMIF('P&amp;L-Q'!$C$4:$AL$4,'P&amp;L-A'!H$5,'P&amp;L-Q'!$C26:$AL26)</f>
        <v>245604</v>
      </c>
      <c r="I26" s="5">
        <f>SUMIF('P&amp;L-Q'!$C$4:$AL$4,'P&amp;L-A'!I$5,'P&amp;L-Q'!$C26:$AL26)</f>
        <v>959504</v>
      </c>
      <c r="J26" s="5">
        <f>SUMIF('P&amp;L-Q'!$C$4:$AL$4,'P&amp;L-A'!J$5,'P&amp;L-Q'!$C26:$AL26)</f>
        <v>2656648</v>
      </c>
      <c r="K26" s="5">
        <f>SUMIF('P&amp;L-Q'!$C$4:$AL$4,'P&amp;L-A'!K$5,'P&amp;L-Q'!$C26:$AL26)</f>
        <v>5247022</v>
      </c>
    </row>
    <row r="27" spans="1:11" ht="10.5" customHeight="1" x14ac:dyDescent="0.65">
      <c r="B27" s="6" t="s">
        <v>30</v>
      </c>
      <c r="C27" s="5">
        <f>SUMIF('P&amp;L-Q'!$C$4:$AL$4,'P&amp;L-A'!C$5,'P&amp;L-Q'!$C27:$AL27)</f>
        <v>197609.2</v>
      </c>
      <c r="D27" s="5">
        <f>SUMIF('P&amp;L-Q'!$C$4:$AL$4,'P&amp;L-A'!D$5,'P&amp;L-Q'!$C27:$AL27)</f>
        <v>275523.78000000003</v>
      </c>
      <c r="E27" s="5">
        <f>SUMIF('P&amp;L-Q'!$C$4:$AL$4,'P&amp;L-A'!E$5,'P&amp;L-Q'!$C27:$AL27)</f>
        <v>543955.48</v>
      </c>
      <c r="F27" s="5">
        <f>SUMIF('P&amp;L-Q'!$C$4:$AL$4,'P&amp;L-A'!F$5,'P&amp;L-Q'!$C27:$AL27)</f>
        <v>601812.78</v>
      </c>
      <c r="G27" s="5">
        <f>SUMIF('P&amp;L-Q'!$C$4:$AL$4,'P&amp;L-A'!G$5,'P&amp;L-Q'!$C27:$AL27)</f>
        <v>692217.45135180419</v>
      </c>
      <c r="H27" s="5">
        <f>SUMIF('P&amp;L-Q'!$C$4:$AL$4,'P&amp;L-A'!H$5,'P&amp;L-Q'!$C27:$AL27)</f>
        <v>1228020</v>
      </c>
      <c r="I27" s="5">
        <f>SUMIF('P&amp;L-Q'!$C$4:$AL$4,'P&amp;L-A'!I$5,'P&amp;L-Q'!$C27:$AL27)</f>
        <v>4797520</v>
      </c>
      <c r="J27" s="5">
        <f>SUMIF('P&amp;L-Q'!$C$4:$AL$4,'P&amp;L-A'!J$5,'P&amp;L-Q'!$C27:$AL27)</f>
        <v>13283240</v>
      </c>
      <c r="K27" s="5">
        <f>SUMIF('P&amp;L-Q'!$C$4:$AL$4,'P&amp;L-A'!K$5,'P&amp;L-Q'!$C27:$AL27)</f>
        <v>26235110</v>
      </c>
    </row>
    <row r="28" spans="1:11" ht="10.5" customHeight="1" x14ac:dyDescent="0.65">
      <c r="B28" s="6" t="s">
        <v>31</v>
      </c>
      <c r="C28" s="5">
        <f>SUMIF('P&amp;L-Q'!$C$4:$AL$4,'P&amp;L-A'!C$5,'P&amp;L-Q'!$C28:$AL28)</f>
        <v>6643.17</v>
      </c>
      <c r="D28" s="5">
        <f>SUMIF('P&amp;L-Q'!$C$4:$AL$4,'P&amp;L-A'!D$5,'P&amp;L-Q'!$C28:$AL28)</f>
        <v>9242.42</v>
      </c>
      <c r="E28" s="5">
        <f>SUMIF('P&amp;L-Q'!$C$4:$AL$4,'P&amp;L-A'!E$5,'P&amp;L-Q'!$C28:$AL28)</f>
        <v>19229.78</v>
      </c>
      <c r="F28" s="5">
        <f>SUMIF('P&amp;L-Q'!$C$4:$AL$4,'P&amp;L-A'!F$5,'P&amp;L-Q'!$C28:$AL28)</f>
        <v>9553.98</v>
      </c>
      <c r="G28" s="5">
        <f>SUMIF('P&amp;L-Q'!$C$4:$AL$4,'P&amp;L-A'!G$5,'P&amp;L-Q'!$C28:$AL28)</f>
        <v>10685.918832356914</v>
      </c>
      <c r="H28" s="5">
        <f>SUMIF('P&amp;L-Q'!$C$4:$AL$4,'P&amp;L-A'!H$5,'P&amp;L-Q'!$C28:$AL28)</f>
        <v>18833.050424647787</v>
      </c>
      <c r="I28" s="5">
        <f>SUMIF('P&amp;L-Q'!$C$4:$AL$4,'P&amp;L-A'!I$5,'P&amp;L-Q'!$C28:$AL28)</f>
        <v>73521.967332837245</v>
      </c>
      <c r="J28" s="5">
        <f>SUMIF('P&amp;L-Q'!$C$4:$AL$4,'P&amp;L-A'!J$5,'P&amp;L-Q'!$C28:$AL28)</f>
        <v>203555.36924867268</v>
      </c>
      <c r="K28" s="5">
        <f>SUMIF('P&amp;L-Q'!$C$4:$AL$4,'P&amp;L-A'!K$5,'P&amp;L-Q'!$C28:$AL28)</f>
        <v>402025.39187622181</v>
      </c>
    </row>
    <row r="29" spans="1:11" ht="10.5" customHeight="1" x14ac:dyDescent="0.65">
      <c r="B29" s="8" t="s">
        <v>32</v>
      </c>
      <c r="C29" s="9">
        <f t="shared" ref="C29:K29" si="4">SUM(C26:C28)</f>
        <v>327788.95</v>
      </c>
      <c r="D29" s="9">
        <f t="shared" si="4"/>
        <v>422103.89999999997</v>
      </c>
      <c r="E29" s="9">
        <f t="shared" si="4"/>
        <v>695599.82000000007</v>
      </c>
      <c r="F29" s="9">
        <f t="shared" si="4"/>
        <v>801427.81</v>
      </c>
      <c r="G29" s="9">
        <f t="shared" si="4"/>
        <v>882827.29701827385</v>
      </c>
      <c r="H29" s="9">
        <f t="shared" si="4"/>
        <v>1492457.0504246478</v>
      </c>
      <c r="I29" s="9">
        <f t="shared" si="4"/>
        <v>5830545.9673328372</v>
      </c>
      <c r="J29" s="9">
        <f t="shared" si="4"/>
        <v>16143443.369248673</v>
      </c>
      <c r="K29" s="9">
        <f t="shared" si="4"/>
        <v>31884157.391876221</v>
      </c>
    </row>
    <row r="30" spans="1:11" ht="10.5" customHeight="1" x14ac:dyDescent="0.65">
      <c r="B30" s="6" t="s">
        <v>33</v>
      </c>
      <c r="C30" s="5">
        <f>SUMIF('P&amp;L-Q'!$C$4:$AL$4,'P&amp;L-A'!C$5,'P&amp;L-Q'!$C30:$AL30)</f>
        <v>85903.72</v>
      </c>
      <c r="D30" s="5">
        <f>SUMIF('P&amp;L-Q'!$C$4:$AL$4,'P&amp;L-A'!D$5,'P&amp;L-Q'!$C30:$AL30)</f>
        <v>121400.63</v>
      </c>
      <c r="E30" s="5">
        <f>SUMIF('P&amp;L-Q'!$C$4:$AL$4,'P&amp;L-A'!E$5,'P&amp;L-Q'!$C30:$AL30)</f>
        <v>144691.26</v>
      </c>
      <c r="F30" s="5">
        <f>SUMIF('P&amp;L-Q'!$C$4:$AL$4,'P&amp;L-A'!F$5,'P&amp;L-Q'!$C30:$AL30)</f>
        <v>293821.03000000003</v>
      </c>
      <c r="G30" s="5">
        <f>SUMIF('P&amp;L-Q'!$C$4:$AL$4,'P&amp;L-A'!G$5,'P&amp;L-Q'!$C30:$AL30)</f>
        <v>356284.9404515255</v>
      </c>
      <c r="H30" s="5">
        <f>SUMIF('P&amp;L-Q'!$C$4:$AL$4,'P&amp;L-A'!H$5,'P&amp;L-Q'!$C30:$AL30)</f>
        <v>659521.10795101337</v>
      </c>
      <c r="I30" s="5">
        <f>SUMIF('P&amp;L-Q'!$C$4:$AL$4,'P&amp;L-A'!I$5,'P&amp;L-Q'!$C30:$AL30)</f>
        <v>2390175.655239447</v>
      </c>
      <c r="J30" s="5">
        <f>SUMIF('P&amp;L-Q'!$C$4:$AL$4,'P&amp;L-A'!J$5,'P&amp;L-Q'!$C30:$AL30)</f>
        <v>5627774.987643538</v>
      </c>
      <c r="K30" s="5">
        <f>SUMIF('P&amp;L-Q'!$C$4:$AL$4,'P&amp;L-A'!K$5,'P&amp;L-Q'!$C30:$AL30)</f>
        <v>10648710.073338633</v>
      </c>
    </row>
    <row r="31" spans="1:11" ht="10.5" customHeight="1" x14ac:dyDescent="0.65">
      <c r="A31" s="8" t="s">
        <v>34</v>
      </c>
      <c r="C31" s="9">
        <f t="shared" ref="C31:K31" si="5">(SUM(C24,C30) + C29)</f>
        <v>460999.58</v>
      </c>
      <c r="D31" s="9">
        <f t="shared" si="5"/>
        <v>560687.27</v>
      </c>
      <c r="E31" s="9">
        <f t="shared" si="5"/>
        <v>903915.71000000008</v>
      </c>
      <c r="F31" s="9">
        <f t="shared" si="5"/>
        <v>1131347.7400000002</v>
      </c>
      <c r="G31" s="9">
        <f t="shared" si="5"/>
        <v>1315438.4104697993</v>
      </c>
      <c r="H31" s="9">
        <f t="shared" si="5"/>
        <v>2322985.5724772234</v>
      </c>
      <c r="I31" s="9">
        <f t="shared" si="5"/>
        <v>8638220.192156177</v>
      </c>
      <c r="J31" s="9">
        <f t="shared" si="5"/>
        <v>22790501.974040389</v>
      </c>
      <c r="K31" s="9">
        <f t="shared" si="5"/>
        <v>45021352.858643018</v>
      </c>
    </row>
    <row r="32" spans="1:11" ht="13.4" customHeight="1" x14ac:dyDescent="0.65"/>
    <row r="33" spans="1:11" ht="10.5" customHeight="1" x14ac:dyDescent="0.65">
      <c r="B33" s="10" t="s">
        <v>35</v>
      </c>
      <c r="C33" s="11">
        <f t="shared" ref="C33:K33" si="6">((C21 + 0) - (0 + C31))</f>
        <v>-436949.79000000004</v>
      </c>
      <c r="D33" s="11">
        <f t="shared" si="6"/>
        <v>-530401.98</v>
      </c>
      <c r="E33" s="11">
        <f t="shared" si="6"/>
        <v>-799105.97000000009</v>
      </c>
      <c r="F33" s="11">
        <f t="shared" si="6"/>
        <v>-999654.34000000032</v>
      </c>
      <c r="G33" s="11">
        <f t="shared" si="6"/>
        <v>-708665.64753809758</v>
      </c>
      <c r="H33" s="11">
        <f t="shared" si="6"/>
        <v>-647332.70454110205</v>
      </c>
      <c r="I33" s="11">
        <f t="shared" si="6"/>
        <v>-22668.597223663703</v>
      </c>
      <c r="J33" s="11">
        <f t="shared" si="6"/>
        <v>9986564.6410005018</v>
      </c>
      <c r="K33" s="11">
        <f t="shared" si="6"/>
        <v>22564657.118622489</v>
      </c>
    </row>
    <row r="34" spans="1:11" ht="13.4" customHeight="1" x14ac:dyDescent="0.65"/>
    <row r="35" spans="1:11" ht="10.5" customHeight="1" x14ac:dyDescent="0.65">
      <c r="B35" s="10" t="s">
        <v>36</v>
      </c>
      <c r="C35" s="11">
        <f t="shared" ref="C35:K35" si="7">(C33 + 0)</f>
        <v>-436949.79000000004</v>
      </c>
      <c r="D35" s="11">
        <f t="shared" si="7"/>
        <v>-530401.98</v>
      </c>
      <c r="E35" s="11">
        <f t="shared" si="7"/>
        <v>-799105.97000000009</v>
      </c>
      <c r="F35" s="11">
        <f t="shared" si="7"/>
        <v>-999654.34000000032</v>
      </c>
      <c r="G35" s="11">
        <f t="shared" si="7"/>
        <v>-708665.64753809758</v>
      </c>
      <c r="H35" s="11">
        <f t="shared" si="7"/>
        <v>-647332.70454110205</v>
      </c>
      <c r="I35" s="11">
        <f t="shared" si="7"/>
        <v>-22668.597223663703</v>
      </c>
      <c r="J35" s="11">
        <f t="shared" si="7"/>
        <v>9986564.6410005018</v>
      </c>
      <c r="K35" s="11">
        <f t="shared" si="7"/>
        <v>22564657.118622489</v>
      </c>
    </row>
    <row r="36" spans="1:11" ht="13.4" customHeight="1" x14ac:dyDescent="0.65"/>
    <row r="37" spans="1:11" ht="13" customHeight="1" x14ac:dyDescent="0.65">
      <c r="A37" s="35"/>
      <c r="B37" s="35" t="s">
        <v>37</v>
      </c>
      <c r="C37" s="35"/>
      <c r="D37" s="35"/>
      <c r="E37" s="35"/>
      <c r="F37" s="35"/>
      <c r="G37" s="35"/>
      <c r="H37" s="35"/>
      <c r="I37" s="35"/>
      <c r="J37" s="35"/>
      <c r="K37" s="35"/>
    </row>
    <row r="38" spans="1:11" ht="10.5" customHeight="1" x14ac:dyDescent="0.65">
      <c r="B38" s="4" t="s">
        <v>38</v>
      </c>
      <c r="C38" s="5">
        <f>SUMIF('P&amp;L-Q'!$C$4:$AL$4,'P&amp;L-A'!C$5,'P&amp;L-Q'!$C38:$AL38)</f>
        <v>0</v>
      </c>
      <c r="D38" s="5">
        <f>SUMIF('P&amp;L-Q'!$C$4:$AL$4,'P&amp;L-A'!D$5,'P&amp;L-Q'!$C38:$AL38)</f>
        <v>-14872.19</v>
      </c>
      <c r="E38" s="5">
        <f>SUMIF('P&amp;L-Q'!$C$4:$AL$4,'P&amp;L-A'!E$5,'P&amp;L-Q'!$C38:$AL38)</f>
        <v>-72540.89</v>
      </c>
      <c r="F38" s="5">
        <f>SUMIF('P&amp;L-Q'!$C$4:$AL$4,'P&amp;L-A'!F$5,'P&amp;L-Q'!$C38:$AL38)</f>
        <v>-124717.98</v>
      </c>
      <c r="G38" s="5">
        <f>SUMIF('P&amp;L-Q'!$C$4:$AL$4,'P&amp;L-A'!G$5,'P&amp;L-Q'!$C38:$AL38)</f>
        <v>0</v>
      </c>
      <c r="H38" s="5">
        <f>SUMIF('P&amp;L-Q'!$C$4:$AL$4,'P&amp;L-A'!H$5,'P&amp;L-Q'!$C38:$AL38)</f>
        <v>0</v>
      </c>
      <c r="I38" s="5">
        <f>SUMIF('P&amp;L-Q'!$C$4:$AL$4,'P&amp;L-A'!I$5,'P&amp;L-Q'!$C38:$AL38)</f>
        <v>0</v>
      </c>
      <c r="J38" s="5">
        <f>SUMIF('P&amp;L-Q'!$C$4:$AL$4,'P&amp;L-A'!J$5,'P&amp;L-Q'!$C38:$AL38)</f>
        <v>0</v>
      </c>
      <c r="K38" s="5">
        <f>SUMIF('P&amp;L-Q'!$C$4:$AL$4,'P&amp;L-A'!K$5,'P&amp;L-Q'!$C38:$AL38)</f>
        <v>0</v>
      </c>
    </row>
    <row r="39" spans="1:11" ht="10.5" customHeight="1" x14ac:dyDescent="0.65">
      <c r="A39" s="8" t="s">
        <v>39</v>
      </c>
      <c r="C39" s="9">
        <f t="shared" ref="C39:K39" si="8">C38</f>
        <v>0</v>
      </c>
      <c r="D39" s="9">
        <f t="shared" si="8"/>
        <v>-14872.19</v>
      </c>
      <c r="E39" s="9">
        <f t="shared" si="8"/>
        <v>-72540.89</v>
      </c>
      <c r="F39" s="9">
        <f t="shared" si="8"/>
        <v>-124717.98</v>
      </c>
      <c r="G39" s="9">
        <f t="shared" si="8"/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</row>
    <row r="40" spans="1:11" ht="13.4" customHeight="1" x14ac:dyDescent="0.65"/>
    <row r="41" spans="1:11" ht="10.5" customHeight="1" x14ac:dyDescent="0.65">
      <c r="B41" s="10" t="s">
        <v>40</v>
      </c>
      <c r="C41" s="11">
        <f t="shared" ref="C41:K41" si="9">(C35 - C39)</f>
        <v>-436949.79000000004</v>
      </c>
      <c r="D41" s="11">
        <f t="shared" si="9"/>
        <v>-515529.79</v>
      </c>
      <c r="E41" s="11">
        <f t="shared" si="9"/>
        <v>-726565.08000000007</v>
      </c>
      <c r="F41" s="11">
        <f t="shared" si="9"/>
        <v>-874936.36000000034</v>
      </c>
      <c r="G41" s="11">
        <f t="shared" si="9"/>
        <v>-708665.64753809758</v>
      </c>
      <c r="H41" s="11">
        <f t="shared" si="9"/>
        <v>-647332.70454110205</v>
      </c>
      <c r="I41" s="11">
        <f t="shared" si="9"/>
        <v>-22668.597223663703</v>
      </c>
      <c r="J41" s="11">
        <f t="shared" si="9"/>
        <v>9986564.6410005018</v>
      </c>
      <c r="K41" s="11">
        <f t="shared" si="9"/>
        <v>22564657.118622489</v>
      </c>
    </row>
    <row r="42" spans="1:11" ht="13.4" customHeight="1" x14ac:dyDescent="0.65"/>
  </sheetData>
  <mergeCells count="3">
    <mergeCell ref="A1:K1"/>
    <mergeCell ref="A3:K3"/>
    <mergeCell ref="A23:K23"/>
  </mergeCells>
  <pageMargins left="0.7" right="0.7" top="0.75" bottom="0.75" header="0.3" footer="0.3"/>
  <pageSetup paperSize="9" scale="93" fitToWidth="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91D7-BA28-4BEA-AC61-0E44C9D1594C}">
  <sheetPr>
    <tabColor theme="5" tint="0.79998168889431442"/>
  </sheetPr>
  <dimension ref="A1:Q50"/>
  <sheetViews>
    <sheetView showGridLines="0" zoomScale="115" zoomScaleNormal="115" workbookViewId="0"/>
  </sheetViews>
  <sheetFormatPr defaultRowHeight="25.25" x14ac:dyDescent="0.65"/>
  <cols>
    <col min="1" max="1" width="43.9140625" customWidth="1"/>
    <col min="2" max="2" width="9.58203125" customWidth="1"/>
    <col min="3" max="3" width="9.5" customWidth="1"/>
    <col min="4" max="4" width="9.58203125" customWidth="1"/>
    <col min="5" max="5" width="9.5" customWidth="1"/>
    <col min="6" max="6" width="9.58203125" customWidth="1"/>
    <col min="7" max="7" width="9.5" customWidth="1"/>
    <col min="8" max="8" width="9.58203125" customWidth="1"/>
    <col min="9" max="9" width="9.5" customWidth="1"/>
    <col min="10" max="10" width="9.58203125" customWidth="1"/>
    <col min="11" max="11" width="9.5" style="33" customWidth="1"/>
    <col min="12" max="12" width="9.58203125" style="33" customWidth="1"/>
    <col min="13" max="13" width="9.5" style="33" customWidth="1"/>
    <col min="14" max="14" width="9.58203125" style="33" customWidth="1"/>
    <col min="15" max="15" width="9.5" style="33" customWidth="1"/>
    <col min="16" max="16" width="9.58203125" style="33" customWidth="1"/>
    <col min="17" max="17" width="9.5" style="33" customWidth="1"/>
    <col min="18" max="18" width="10.5" bestFit="1" customWidth="1"/>
  </cols>
  <sheetData>
    <row r="1" spans="1:10" ht="25.5" customHeight="1" x14ac:dyDescent="0.65">
      <c r="A1" s="33" t="s">
        <v>90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8" customHeight="1" x14ac:dyDescent="0.6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8" customHeight="1" x14ac:dyDescent="0.6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 ht="13.4" customHeight="1" x14ac:dyDescent="0.65">
      <c r="B4" s="40">
        <v>4</v>
      </c>
      <c r="C4" s="40">
        <f>B4+4</f>
        <v>8</v>
      </c>
      <c r="D4" s="40">
        <f t="shared" ref="D4:J4" si="0">C4+4</f>
        <v>12</v>
      </c>
      <c r="E4" s="40">
        <f t="shared" si="0"/>
        <v>16</v>
      </c>
      <c r="F4" s="40">
        <f t="shared" si="0"/>
        <v>20</v>
      </c>
      <c r="G4" s="40">
        <f t="shared" si="0"/>
        <v>24</v>
      </c>
      <c r="H4" s="40">
        <f t="shared" si="0"/>
        <v>28</v>
      </c>
      <c r="I4" s="40">
        <f t="shared" si="0"/>
        <v>32</v>
      </c>
      <c r="J4" s="40">
        <f t="shared" si="0"/>
        <v>36</v>
      </c>
    </row>
    <row r="5" spans="1:10" ht="10.5" customHeight="1" x14ac:dyDescent="0.65">
      <c r="A5" s="2" t="s">
        <v>1</v>
      </c>
      <c r="B5" s="3">
        <v>2019</v>
      </c>
      <c r="C5" s="3">
        <f>B5+1</f>
        <v>2020</v>
      </c>
      <c r="D5" s="3">
        <f t="shared" ref="D5:J5" si="1">C5+1</f>
        <v>2021</v>
      </c>
      <c r="E5" s="3">
        <f t="shared" si="1"/>
        <v>2022</v>
      </c>
      <c r="F5" s="3">
        <f t="shared" si="1"/>
        <v>2023</v>
      </c>
      <c r="G5" s="3">
        <f t="shared" si="1"/>
        <v>2024</v>
      </c>
      <c r="H5" s="3">
        <f t="shared" si="1"/>
        <v>2025</v>
      </c>
      <c r="I5" s="3">
        <f t="shared" si="1"/>
        <v>2026</v>
      </c>
      <c r="J5" s="3">
        <f t="shared" si="1"/>
        <v>2027</v>
      </c>
    </row>
    <row r="6" spans="1:10" ht="13.4" customHeight="1" x14ac:dyDescent="0.65"/>
    <row r="7" spans="1:10" ht="13" customHeight="1" x14ac:dyDescent="0.65">
      <c r="A7" s="35" t="s">
        <v>73</v>
      </c>
      <c r="B7" s="35"/>
      <c r="C7" s="35"/>
      <c r="D7" s="35"/>
      <c r="E7" s="35"/>
      <c r="F7" s="35"/>
      <c r="G7" s="35"/>
      <c r="H7" s="35"/>
      <c r="I7" s="35"/>
      <c r="J7" s="35"/>
    </row>
    <row r="8" spans="1:10" ht="10.5" customHeight="1" x14ac:dyDescent="0.65">
      <c r="A8" s="4" t="s">
        <v>72</v>
      </c>
      <c r="B8" s="5">
        <f>SUMIF('BS-Q'!$B$3:$AK$3,'BS-A'!B$4,'BS-Q'!$B8:$AK8)</f>
        <v>6873.21</v>
      </c>
      <c r="C8" s="5">
        <f>SUMIF('BS-Q'!$B$3:$AK$3,'BS-A'!C$4,'BS-Q'!$B8:$AK8)</f>
        <v>9458.5400000000009</v>
      </c>
      <c r="D8" s="5">
        <f>SUMIF('BS-Q'!$B$3:$AK$3,'BS-A'!D$4,'BS-Q'!$B8:$AK8)</f>
        <v>177.46</v>
      </c>
      <c r="E8" s="5">
        <f>SUMIF('BS-Q'!$B$3:$AK$3,'BS-A'!E$4,'BS-Q'!$B8:$AK8)</f>
        <v>142.99</v>
      </c>
      <c r="F8" s="5">
        <f>SUMIF('BS-Q'!$B$3:$AK$3,'BS-A'!F$4,'BS-Q'!$B8:$AK8)</f>
        <v>142.99</v>
      </c>
      <c r="G8" s="5">
        <f>SUMIF('BS-Q'!$B$3:$AK$3,'BS-A'!G$4,'BS-Q'!$B8:$AK8)</f>
        <v>142.99</v>
      </c>
      <c r="H8" s="5">
        <f>SUMIF('BS-Q'!$B$3:$AK$3,'BS-A'!H$4,'BS-Q'!$B8:$AK8)</f>
        <v>142.99</v>
      </c>
      <c r="I8" s="5">
        <f>SUMIF('BS-Q'!$B$3:$AK$3,'BS-A'!I$4,'BS-Q'!$B8:$AK8)</f>
        <v>142.99</v>
      </c>
      <c r="J8" s="5">
        <f>SUMIF('BS-Q'!$B$3:$AK$3,'BS-A'!J$4,'BS-Q'!$B8:$AK8)</f>
        <v>142.99</v>
      </c>
    </row>
    <row r="9" spans="1:10" ht="10.5" customHeight="1" x14ac:dyDescent="0.65">
      <c r="A9" s="8" t="s">
        <v>71</v>
      </c>
      <c r="B9" s="9">
        <f t="shared" ref="B9:J9" si="2">B8</f>
        <v>6873.21</v>
      </c>
      <c r="C9" s="9">
        <f t="shared" si="2"/>
        <v>9458.5400000000009</v>
      </c>
      <c r="D9" s="9">
        <f t="shared" si="2"/>
        <v>177.46</v>
      </c>
      <c r="E9" s="9">
        <f t="shared" si="2"/>
        <v>142.99</v>
      </c>
      <c r="F9" s="9">
        <f t="shared" si="2"/>
        <v>142.99</v>
      </c>
      <c r="G9" s="9">
        <f t="shared" si="2"/>
        <v>142.99</v>
      </c>
      <c r="H9" s="9">
        <f t="shared" si="2"/>
        <v>142.99</v>
      </c>
      <c r="I9" s="9">
        <f t="shared" si="2"/>
        <v>142.99</v>
      </c>
      <c r="J9" s="9">
        <f t="shared" si="2"/>
        <v>142.99</v>
      </c>
    </row>
    <row r="10" spans="1:10" ht="13.4" customHeight="1" x14ac:dyDescent="0.65"/>
    <row r="11" spans="1:10" ht="13" customHeight="1" x14ac:dyDescent="0.65">
      <c r="A11" s="35" t="s">
        <v>70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0.5" customHeight="1" x14ac:dyDescent="0.65">
      <c r="A12" s="4" t="s">
        <v>69</v>
      </c>
      <c r="B12" s="5">
        <f>SUMIF('BS-Q'!$B$3:$AK$3,'BS-A'!B$4,'BS-Q'!$B12:$AK12)</f>
        <v>117287.23</v>
      </c>
      <c r="C12" s="5">
        <f>SUMIF('BS-Q'!$B$3:$AK$3,'BS-A'!C$4,'BS-Q'!$B12:$AK12)</f>
        <v>205249.95</v>
      </c>
      <c r="D12" s="5">
        <f>SUMIF('BS-Q'!$B$3:$AK$3,'BS-A'!D$4,'BS-Q'!$B12:$AK12)</f>
        <v>222444.82</v>
      </c>
      <c r="E12" s="5">
        <f>SUMIF('BS-Q'!$B$3:$AK$3,'BS-A'!E$4,'BS-Q'!$B12:$AK12)</f>
        <v>398128.57</v>
      </c>
      <c r="F12" s="5">
        <f>SUMIF('BS-Q'!$B$3:$AK$3,'BS-A'!F$4,'BS-Q'!$B12:$AK12)</f>
        <v>2689462.9224619023</v>
      </c>
      <c r="G12" s="5">
        <f>SUMIF('BS-Q'!$B$3:$AK$3,'BS-A'!G$4,'BS-Q'!$B12:$AK12)</f>
        <v>2042130.2179208</v>
      </c>
      <c r="H12" s="5">
        <f>SUMIF('BS-Q'!$B$3:$AK$3,'BS-A'!H$4,'BS-Q'!$B12:$AK12)</f>
        <v>2019461.6206971363</v>
      </c>
      <c r="I12" s="5">
        <f>SUMIF('BS-Q'!$B$3:$AK$3,'BS-A'!I$4,'BS-Q'!$B12:$AK12)</f>
        <v>12006026.261697635</v>
      </c>
      <c r="J12" s="5">
        <f>SUMIF('BS-Q'!$B$3:$AK$3,'BS-A'!J$4,'BS-Q'!$B12:$AK12)</f>
        <v>34570683.380320117</v>
      </c>
    </row>
    <row r="13" spans="1:10" ht="10.5" customHeight="1" x14ac:dyDescent="0.65">
      <c r="A13" s="6" t="s">
        <v>68</v>
      </c>
      <c r="B13" s="5">
        <f>SUMIF('BS-Q'!$B$3:$AK$3,'BS-A'!B$4,'BS-Q'!$B13:$AK13)</f>
        <v>61055.07</v>
      </c>
      <c r="C13" s="5">
        <f>SUMIF('BS-Q'!$B$3:$AK$3,'BS-A'!C$4,'BS-Q'!$B13:$AK13)</f>
        <v>77680.160000000003</v>
      </c>
      <c r="D13" s="5">
        <f>SUMIF('BS-Q'!$B$3:$AK$3,'BS-A'!D$4,'BS-Q'!$B13:$AK13)</f>
        <v>10578.04</v>
      </c>
      <c r="E13" s="5">
        <f>SUMIF('BS-Q'!$B$3:$AK$3,'BS-A'!E$4,'BS-Q'!$B13:$AK13)</f>
        <v>37465.22</v>
      </c>
      <c r="F13" s="5">
        <f>SUMIF('BS-Q'!$B$3:$AK$3,'BS-A'!F$4,'BS-Q'!$B13:$AK13)</f>
        <v>37465.22</v>
      </c>
      <c r="G13" s="5">
        <f>SUMIF('BS-Q'!$B$3:$AK$3,'BS-A'!G$4,'BS-Q'!$B13:$AK13)</f>
        <v>37465.22</v>
      </c>
      <c r="H13" s="5">
        <f>SUMIF('BS-Q'!$B$3:$AK$3,'BS-A'!H$4,'BS-Q'!$B13:$AK13)</f>
        <v>37465.22</v>
      </c>
      <c r="I13" s="5">
        <f>SUMIF('BS-Q'!$B$3:$AK$3,'BS-A'!I$4,'BS-Q'!$B13:$AK13)</f>
        <v>37465.22</v>
      </c>
      <c r="J13" s="5">
        <f>SUMIF('BS-Q'!$B$3:$AK$3,'BS-A'!J$4,'BS-Q'!$B13:$AK13)</f>
        <v>37465.22</v>
      </c>
    </row>
    <row r="14" spans="1:10" ht="10.5" customHeight="1" x14ac:dyDescent="0.65">
      <c r="A14" s="6" t="s">
        <v>67</v>
      </c>
      <c r="B14" s="5">
        <f>SUMIF('BS-Q'!$B$3:$AK$3,'BS-A'!B$4,'BS-Q'!$B14:$AK14)</f>
        <v>0</v>
      </c>
      <c r="C14" s="5">
        <f>SUMIF('BS-Q'!$B$3:$AK$3,'BS-A'!C$4,'BS-Q'!$B14:$AK14)</f>
        <v>0</v>
      </c>
      <c r="D14" s="5">
        <f>SUMIF('BS-Q'!$B$3:$AK$3,'BS-A'!D$4,'BS-Q'!$B14:$AK14)</f>
        <v>0</v>
      </c>
      <c r="E14" s="5">
        <f>SUMIF('BS-Q'!$B$3:$AK$3,'BS-A'!E$4,'BS-Q'!$B14:$AK14)</f>
        <v>8029.17</v>
      </c>
      <c r="F14" s="5">
        <f>SUMIF('BS-Q'!$B$3:$AK$3,'BS-A'!F$4,'BS-Q'!$B14:$AK14)</f>
        <v>8029.17</v>
      </c>
      <c r="G14" s="5">
        <f>SUMIF('BS-Q'!$B$3:$AK$3,'BS-A'!G$4,'BS-Q'!$B14:$AK14)</f>
        <v>8029.17</v>
      </c>
      <c r="H14" s="5">
        <f>SUMIF('BS-Q'!$B$3:$AK$3,'BS-A'!H$4,'BS-Q'!$B14:$AK14)</f>
        <v>8029.17</v>
      </c>
      <c r="I14" s="5">
        <f>SUMIF('BS-Q'!$B$3:$AK$3,'BS-A'!I$4,'BS-Q'!$B14:$AK14)</f>
        <v>8029.17</v>
      </c>
      <c r="J14" s="5">
        <f>SUMIF('BS-Q'!$B$3:$AK$3,'BS-A'!J$4,'BS-Q'!$B14:$AK14)</f>
        <v>8029.17</v>
      </c>
    </row>
    <row r="15" spans="1:10" ht="10.5" customHeight="1" x14ac:dyDescent="0.65">
      <c r="A15" s="6" t="s">
        <v>58</v>
      </c>
      <c r="B15" s="5">
        <f>SUMIF('BS-Q'!$B$3:$AK$3,'BS-A'!B$4,'BS-Q'!$B15:$AK15)</f>
        <v>0</v>
      </c>
      <c r="C15" s="5">
        <f>SUMIF('BS-Q'!$B$3:$AK$3,'BS-A'!C$4,'BS-Q'!$B15:$AK15)</f>
        <v>0</v>
      </c>
      <c r="D15" s="5">
        <f>SUMIF('BS-Q'!$B$3:$AK$3,'BS-A'!D$4,'BS-Q'!$B15:$AK15)</f>
        <v>0</v>
      </c>
      <c r="E15" s="5">
        <f>SUMIF('BS-Q'!$B$3:$AK$3,'BS-A'!E$4,'BS-Q'!$B15:$AK15)</f>
        <v>0</v>
      </c>
      <c r="F15" s="5">
        <f>SUMIF('BS-Q'!$B$3:$AK$3,'BS-A'!F$4,'BS-Q'!$B15:$AK15)</f>
        <v>0</v>
      </c>
      <c r="G15" s="5">
        <f>SUMIF('BS-Q'!$B$3:$AK$3,'BS-A'!G$4,'BS-Q'!$B15:$AK15)</f>
        <v>0</v>
      </c>
      <c r="H15" s="5">
        <f>SUMIF('BS-Q'!$B$3:$AK$3,'BS-A'!H$4,'BS-Q'!$B15:$AK15)</f>
        <v>0</v>
      </c>
      <c r="I15" s="5">
        <f>SUMIF('BS-Q'!$B$3:$AK$3,'BS-A'!I$4,'BS-Q'!$B15:$AK15)</f>
        <v>0</v>
      </c>
      <c r="J15" s="5">
        <f>SUMIF('BS-Q'!$B$3:$AK$3,'BS-A'!J$4,'BS-Q'!$B15:$AK15)</f>
        <v>0</v>
      </c>
    </row>
    <row r="16" spans="1:10" ht="10.5" customHeight="1" x14ac:dyDescent="0.65">
      <c r="A16" s="6" t="s">
        <v>62</v>
      </c>
      <c r="B16" s="5">
        <f>SUMIF('BS-Q'!$B$3:$AK$3,'BS-A'!B$4,'BS-Q'!$B16:$AK16)</f>
        <v>0</v>
      </c>
      <c r="C16" s="5">
        <f>SUMIF('BS-Q'!$B$3:$AK$3,'BS-A'!C$4,'BS-Q'!$B16:$AK16)</f>
        <v>0</v>
      </c>
      <c r="D16" s="5">
        <f>SUMIF('BS-Q'!$B$3:$AK$3,'BS-A'!D$4,'BS-Q'!$B16:$AK16)</f>
        <v>5.75</v>
      </c>
      <c r="E16" s="5">
        <f>SUMIF('BS-Q'!$B$3:$AK$3,'BS-A'!E$4,'BS-Q'!$B16:$AK16)</f>
        <v>0</v>
      </c>
      <c r="F16" s="5">
        <f>SUMIF('BS-Q'!$B$3:$AK$3,'BS-A'!F$4,'BS-Q'!$B16:$AK16)</f>
        <v>0</v>
      </c>
      <c r="G16" s="5">
        <f>SUMIF('BS-Q'!$B$3:$AK$3,'BS-A'!G$4,'BS-Q'!$B16:$AK16)</f>
        <v>0</v>
      </c>
      <c r="H16" s="5">
        <f>SUMIF('BS-Q'!$B$3:$AK$3,'BS-A'!H$4,'BS-Q'!$B16:$AK16)</f>
        <v>0</v>
      </c>
      <c r="I16" s="5">
        <f>SUMIF('BS-Q'!$B$3:$AK$3,'BS-A'!I$4,'BS-Q'!$B16:$AK16)</f>
        <v>0</v>
      </c>
      <c r="J16" s="5">
        <f>SUMIF('BS-Q'!$B$3:$AK$3,'BS-A'!J$4,'BS-Q'!$B16:$AK16)</f>
        <v>0</v>
      </c>
    </row>
    <row r="17" spans="1:10" ht="10.5" customHeight="1" x14ac:dyDescent="0.65">
      <c r="A17" s="6" t="s">
        <v>60</v>
      </c>
      <c r="B17" s="5">
        <f>SUMIF('BS-Q'!$B$3:$AK$3,'BS-A'!B$4,'BS-Q'!$B17:$AK17)</f>
        <v>0</v>
      </c>
      <c r="C17" s="5">
        <f>SUMIF('BS-Q'!$B$3:$AK$3,'BS-A'!C$4,'BS-Q'!$B17:$AK17)</f>
        <v>0.01</v>
      </c>
      <c r="D17" s="5">
        <f>SUMIF('BS-Q'!$B$3:$AK$3,'BS-A'!D$4,'BS-Q'!$B17:$AK17)</f>
        <v>0</v>
      </c>
      <c r="E17" s="5">
        <f>SUMIF('BS-Q'!$B$3:$AK$3,'BS-A'!E$4,'BS-Q'!$B17:$AK17)</f>
        <v>24</v>
      </c>
      <c r="F17" s="5">
        <f>SUMIF('BS-Q'!$B$3:$AK$3,'BS-A'!F$4,'BS-Q'!$B17:$AK17)</f>
        <v>24</v>
      </c>
      <c r="G17" s="5">
        <f>SUMIF('BS-Q'!$B$3:$AK$3,'BS-A'!G$4,'BS-Q'!$B17:$AK17)</f>
        <v>24</v>
      </c>
      <c r="H17" s="5">
        <f>SUMIF('BS-Q'!$B$3:$AK$3,'BS-A'!H$4,'BS-Q'!$B17:$AK17)</f>
        <v>24</v>
      </c>
      <c r="I17" s="5">
        <f>SUMIF('BS-Q'!$B$3:$AK$3,'BS-A'!I$4,'BS-Q'!$B17:$AK17)</f>
        <v>24</v>
      </c>
      <c r="J17" s="5">
        <f>SUMIF('BS-Q'!$B$3:$AK$3,'BS-A'!J$4,'BS-Q'!$B17:$AK17)</f>
        <v>24</v>
      </c>
    </row>
    <row r="18" spans="1:10" ht="10.5" customHeight="1" x14ac:dyDescent="0.65">
      <c r="A18" s="6" t="s">
        <v>59</v>
      </c>
      <c r="B18" s="5">
        <f>SUMIF('BS-Q'!$B$3:$AK$3,'BS-A'!B$4,'BS-Q'!$B18:$AK18)</f>
        <v>0</v>
      </c>
      <c r="C18" s="5">
        <f>SUMIF('BS-Q'!$B$3:$AK$3,'BS-A'!C$4,'BS-Q'!$B18:$AK18)</f>
        <v>2946.92</v>
      </c>
      <c r="D18" s="5">
        <f>SUMIF('BS-Q'!$B$3:$AK$3,'BS-A'!D$4,'BS-Q'!$B18:$AK18)</f>
        <v>3128.91</v>
      </c>
      <c r="E18" s="5">
        <f>SUMIF('BS-Q'!$B$3:$AK$3,'BS-A'!E$4,'BS-Q'!$B18:$AK18)</f>
        <v>3142.24</v>
      </c>
      <c r="F18" s="5">
        <f>SUMIF('BS-Q'!$B$3:$AK$3,'BS-A'!F$4,'BS-Q'!$B18:$AK18)</f>
        <v>3142.24</v>
      </c>
      <c r="G18" s="5">
        <f>SUMIF('BS-Q'!$B$3:$AK$3,'BS-A'!G$4,'BS-Q'!$B18:$AK18)</f>
        <v>3142.24</v>
      </c>
      <c r="H18" s="5">
        <f>SUMIF('BS-Q'!$B$3:$AK$3,'BS-A'!H$4,'BS-Q'!$B18:$AK18)</f>
        <v>3142.24</v>
      </c>
      <c r="I18" s="5">
        <f>SUMIF('BS-Q'!$B$3:$AK$3,'BS-A'!I$4,'BS-Q'!$B18:$AK18)</f>
        <v>3142.24</v>
      </c>
      <c r="J18" s="5">
        <f>SUMIF('BS-Q'!$B$3:$AK$3,'BS-A'!J$4,'BS-Q'!$B18:$AK18)</f>
        <v>3142.24</v>
      </c>
    </row>
    <row r="19" spans="1:10" ht="10.5" customHeight="1" x14ac:dyDescent="0.65">
      <c r="A19" s="8" t="s">
        <v>66</v>
      </c>
      <c r="B19" s="9">
        <f t="shared" ref="B19:J19" si="3">SUM(B12:B18)</f>
        <v>178342.3</v>
      </c>
      <c r="C19" s="9">
        <f t="shared" si="3"/>
        <v>285877.03999999998</v>
      </c>
      <c r="D19" s="9">
        <f t="shared" si="3"/>
        <v>236157.52000000002</v>
      </c>
      <c r="E19" s="9">
        <f t="shared" si="3"/>
        <v>446789.2</v>
      </c>
      <c r="F19" s="9">
        <f t="shared" si="3"/>
        <v>2738123.5524619026</v>
      </c>
      <c r="G19" s="9">
        <f t="shared" si="3"/>
        <v>2090790.8479207999</v>
      </c>
      <c r="H19" s="9">
        <f t="shared" si="3"/>
        <v>2068122.2506971362</v>
      </c>
      <c r="I19" s="9">
        <f t="shared" si="3"/>
        <v>12054686.891697636</v>
      </c>
      <c r="J19" s="9">
        <f t="shared" si="3"/>
        <v>34619344.01032012</v>
      </c>
    </row>
    <row r="20" spans="1:10" ht="13.4" customHeight="1" x14ac:dyDescent="0.65"/>
    <row r="21" spans="1:10" ht="13" customHeight="1" x14ac:dyDescent="0.65">
      <c r="A21" s="35" t="s">
        <v>65</v>
      </c>
      <c r="B21" s="35"/>
      <c r="C21" s="35"/>
      <c r="D21" s="35"/>
      <c r="E21" s="35"/>
      <c r="F21" s="35"/>
      <c r="G21" s="35"/>
      <c r="H21" s="35"/>
      <c r="I21" s="35"/>
      <c r="J21" s="35"/>
    </row>
    <row r="22" spans="1:10" ht="10.5" customHeight="1" x14ac:dyDescent="0.65">
      <c r="A22" s="4" t="s">
        <v>64</v>
      </c>
      <c r="B22" s="5">
        <f>SUMIF('BS-Q'!$B$3:$AK$3,'BS-A'!B$4,'BS-Q'!$B22:$AK22)</f>
        <v>53289</v>
      </c>
      <c r="C22" s="5">
        <f>SUMIF('BS-Q'!$B$3:$AK$3,'BS-A'!C$4,'BS-Q'!$B22:$AK22)</f>
        <v>78053.070000000007</v>
      </c>
      <c r="D22" s="5">
        <f>SUMIF('BS-Q'!$B$3:$AK$3,'BS-A'!D$4,'BS-Q'!$B22:$AK22)</f>
        <v>6913.19</v>
      </c>
      <c r="E22" s="5">
        <f>SUMIF('BS-Q'!$B$3:$AK$3,'BS-A'!E$4,'BS-Q'!$B22:$AK22)</f>
        <v>53891.93</v>
      </c>
      <c r="F22" s="5">
        <f>SUMIF('BS-Q'!$B$3:$AK$3,'BS-A'!F$4,'BS-Q'!$B22:$AK22)</f>
        <v>53891.93</v>
      </c>
      <c r="G22" s="5">
        <f>SUMIF('BS-Q'!$B$3:$AK$3,'BS-A'!G$4,'BS-Q'!$B22:$AK22)</f>
        <v>53891.93</v>
      </c>
      <c r="H22" s="5">
        <f>SUMIF('BS-Q'!$B$3:$AK$3,'BS-A'!H$4,'BS-Q'!$B22:$AK22)</f>
        <v>53891.93</v>
      </c>
      <c r="I22" s="5">
        <f>SUMIF('BS-Q'!$B$3:$AK$3,'BS-A'!I$4,'BS-Q'!$B22:$AK22)</f>
        <v>53891.93</v>
      </c>
      <c r="J22" s="5">
        <f>SUMIF('BS-Q'!$B$3:$AK$3,'BS-A'!J$4,'BS-Q'!$B22:$AK22)</f>
        <v>53891.93</v>
      </c>
    </row>
    <row r="23" spans="1:10" ht="10.5" customHeight="1" x14ac:dyDescent="0.65">
      <c r="A23" s="6" t="s">
        <v>63</v>
      </c>
      <c r="B23" s="5">
        <f>SUMIF('BS-Q'!$B$3:$AK$3,'BS-A'!B$4,'BS-Q'!$B23:$AK23)</f>
        <v>0</v>
      </c>
      <c r="C23" s="5">
        <f>SUMIF('BS-Q'!$B$3:$AK$3,'BS-A'!C$4,'BS-Q'!$B23:$AK23)</f>
        <v>0</v>
      </c>
      <c r="D23" s="5">
        <f>SUMIF('BS-Q'!$B$3:$AK$3,'BS-A'!D$4,'BS-Q'!$B23:$AK23)</f>
        <v>0</v>
      </c>
      <c r="E23" s="5">
        <f>SUMIF('BS-Q'!$B$3:$AK$3,'BS-A'!E$4,'BS-Q'!$B23:$AK23)</f>
        <v>14399.36</v>
      </c>
      <c r="F23" s="5">
        <f>SUMIF('BS-Q'!$B$3:$AK$3,'BS-A'!F$4,'BS-Q'!$B23:$AK23)</f>
        <v>14399.36</v>
      </c>
      <c r="G23" s="5">
        <f>SUMIF('BS-Q'!$B$3:$AK$3,'BS-A'!G$4,'BS-Q'!$B23:$AK23)</f>
        <v>14399.36</v>
      </c>
      <c r="H23" s="5">
        <f>SUMIF('BS-Q'!$B$3:$AK$3,'BS-A'!H$4,'BS-Q'!$B23:$AK23)</f>
        <v>14399.36</v>
      </c>
      <c r="I23" s="5">
        <f>SUMIF('BS-Q'!$B$3:$AK$3,'BS-A'!I$4,'BS-Q'!$B23:$AK23)</f>
        <v>14399.36</v>
      </c>
      <c r="J23" s="5">
        <f>SUMIF('BS-Q'!$B$3:$AK$3,'BS-A'!J$4,'BS-Q'!$B23:$AK23)</f>
        <v>14399.36</v>
      </c>
    </row>
    <row r="24" spans="1:10" ht="10.5" customHeight="1" x14ac:dyDescent="0.65">
      <c r="A24" s="6" t="s">
        <v>62</v>
      </c>
      <c r="B24" s="5">
        <f>SUMIF('BS-Q'!$B$3:$AK$3,'BS-A'!B$4,'BS-Q'!$B24:$AK24)</f>
        <v>28000</v>
      </c>
      <c r="C24" s="5">
        <f>SUMIF('BS-Q'!$B$3:$AK$3,'BS-A'!C$4,'BS-Q'!$B24:$AK24)</f>
        <v>0</v>
      </c>
      <c r="D24" s="5">
        <f>SUMIF('BS-Q'!$B$3:$AK$3,'BS-A'!D$4,'BS-Q'!$B24:$AK24)</f>
        <v>0</v>
      </c>
      <c r="E24" s="5">
        <f>SUMIF('BS-Q'!$B$3:$AK$3,'BS-A'!E$4,'BS-Q'!$B24:$AK24)</f>
        <v>0</v>
      </c>
      <c r="F24" s="5">
        <f>SUMIF('BS-Q'!$B$3:$AK$3,'BS-A'!F$4,'BS-Q'!$B24:$AK24)</f>
        <v>0</v>
      </c>
      <c r="G24" s="5">
        <f>SUMIF('BS-Q'!$B$3:$AK$3,'BS-A'!G$4,'BS-Q'!$B24:$AK24)</f>
        <v>0</v>
      </c>
      <c r="H24" s="5">
        <f>SUMIF('BS-Q'!$B$3:$AK$3,'BS-A'!H$4,'BS-Q'!$B24:$AK24)</f>
        <v>0</v>
      </c>
      <c r="I24" s="5">
        <f>SUMIF('BS-Q'!$B$3:$AK$3,'BS-A'!I$4,'BS-Q'!$B24:$AK24)</f>
        <v>0</v>
      </c>
      <c r="J24" s="5">
        <f>SUMIF('BS-Q'!$B$3:$AK$3,'BS-A'!J$4,'BS-Q'!$B24:$AK24)</f>
        <v>0</v>
      </c>
    </row>
    <row r="25" spans="1:10" ht="10.5" customHeight="1" x14ac:dyDescent="0.65">
      <c r="A25" s="6" t="s">
        <v>61</v>
      </c>
      <c r="B25" s="5">
        <f>SUMIF('BS-Q'!$B$3:$AK$3,'BS-A'!B$4,'BS-Q'!$B25:$AK25)</f>
        <v>0</v>
      </c>
      <c r="C25" s="5">
        <f>SUMIF('BS-Q'!$B$3:$AK$3,'BS-A'!C$4,'BS-Q'!$B25:$AK25)</f>
        <v>0</v>
      </c>
      <c r="D25" s="5">
        <f>SUMIF('BS-Q'!$B$3:$AK$3,'BS-A'!D$4,'BS-Q'!$B25:$AK25)</f>
        <v>0</v>
      </c>
      <c r="E25" s="5">
        <f>SUMIF('BS-Q'!$B$3:$AK$3,'BS-A'!E$4,'BS-Q'!$B25:$AK25)</f>
        <v>1514.29</v>
      </c>
      <c r="F25" s="5">
        <f>SUMIF('BS-Q'!$B$3:$AK$3,'BS-A'!F$4,'BS-Q'!$B25:$AK25)</f>
        <v>1514.29</v>
      </c>
      <c r="G25" s="5">
        <f>SUMIF('BS-Q'!$B$3:$AK$3,'BS-A'!G$4,'BS-Q'!$B25:$AK25)</f>
        <v>1514.29</v>
      </c>
      <c r="H25" s="5">
        <f>SUMIF('BS-Q'!$B$3:$AK$3,'BS-A'!H$4,'BS-Q'!$B25:$AK25)</f>
        <v>1514.29</v>
      </c>
      <c r="I25" s="5">
        <f>SUMIF('BS-Q'!$B$3:$AK$3,'BS-A'!I$4,'BS-Q'!$B25:$AK25)</f>
        <v>1514.29</v>
      </c>
      <c r="J25" s="5">
        <f>SUMIF('BS-Q'!$B$3:$AK$3,'BS-A'!J$4,'BS-Q'!$B25:$AK25)</f>
        <v>1514.29</v>
      </c>
    </row>
    <row r="26" spans="1:10" ht="10.5" customHeight="1" x14ac:dyDescent="0.65">
      <c r="A26" s="6" t="s">
        <v>60</v>
      </c>
      <c r="B26" s="5">
        <f>SUMIF('BS-Q'!$B$3:$AK$3,'BS-A'!B$4,'BS-Q'!$B26:$AK26)</f>
        <v>0</v>
      </c>
      <c r="C26" s="5">
        <f>SUMIF('BS-Q'!$B$3:$AK$3,'BS-A'!C$4,'BS-Q'!$B26:$AK26)</f>
        <v>0</v>
      </c>
      <c r="D26" s="5">
        <f>SUMIF('BS-Q'!$B$3:$AK$3,'BS-A'!D$4,'BS-Q'!$B26:$AK26)</f>
        <v>18.03</v>
      </c>
      <c r="E26" s="5">
        <f>SUMIF('BS-Q'!$B$3:$AK$3,'BS-A'!E$4,'BS-Q'!$B26:$AK26)</f>
        <v>0</v>
      </c>
      <c r="F26" s="5">
        <f>SUMIF('BS-Q'!$B$3:$AK$3,'BS-A'!F$4,'BS-Q'!$B26:$AK26)</f>
        <v>0</v>
      </c>
      <c r="G26" s="5">
        <f>SUMIF('BS-Q'!$B$3:$AK$3,'BS-A'!G$4,'BS-Q'!$B26:$AK26)</f>
        <v>0</v>
      </c>
      <c r="H26" s="5">
        <f>SUMIF('BS-Q'!$B$3:$AK$3,'BS-A'!H$4,'BS-Q'!$B26:$AK26)</f>
        <v>0</v>
      </c>
      <c r="I26" s="5">
        <f>SUMIF('BS-Q'!$B$3:$AK$3,'BS-A'!I$4,'BS-Q'!$B26:$AK26)</f>
        <v>0</v>
      </c>
      <c r="J26" s="5">
        <f>SUMIF('BS-Q'!$B$3:$AK$3,'BS-A'!J$4,'BS-Q'!$B26:$AK26)</f>
        <v>0</v>
      </c>
    </row>
    <row r="27" spans="1:10" ht="10.5" customHeight="1" x14ac:dyDescent="0.65">
      <c r="A27" s="6" t="s">
        <v>59</v>
      </c>
      <c r="B27" s="5">
        <f>SUMIF('BS-Q'!$B$3:$AK$3,'BS-A'!B$4,'BS-Q'!$B27:$AK27)</f>
        <v>714.21</v>
      </c>
      <c r="C27" s="5">
        <f>SUMIF('BS-Q'!$B$3:$AK$3,'BS-A'!C$4,'BS-Q'!$B27:$AK27)</f>
        <v>0</v>
      </c>
      <c r="D27" s="5">
        <f>SUMIF('BS-Q'!$B$3:$AK$3,'BS-A'!D$4,'BS-Q'!$B27:$AK27)</f>
        <v>0</v>
      </c>
      <c r="E27" s="5">
        <f>SUMIF('BS-Q'!$B$3:$AK$3,'BS-A'!E$4,'BS-Q'!$B27:$AK27)</f>
        <v>0</v>
      </c>
      <c r="F27" s="5">
        <f>SUMIF('BS-Q'!$B$3:$AK$3,'BS-A'!F$4,'BS-Q'!$B27:$AK27)</f>
        <v>0</v>
      </c>
      <c r="G27" s="5">
        <f>SUMIF('BS-Q'!$B$3:$AK$3,'BS-A'!G$4,'BS-Q'!$B27:$AK27)</f>
        <v>0</v>
      </c>
      <c r="H27" s="5">
        <f>SUMIF('BS-Q'!$B$3:$AK$3,'BS-A'!H$4,'BS-Q'!$B27:$AK27)</f>
        <v>0</v>
      </c>
      <c r="I27" s="5">
        <f>SUMIF('BS-Q'!$B$3:$AK$3,'BS-A'!I$4,'BS-Q'!$B27:$AK27)</f>
        <v>0</v>
      </c>
      <c r="J27" s="5">
        <f>SUMIF('BS-Q'!$B$3:$AK$3,'BS-A'!J$4,'BS-Q'!$B27:$AK27)</f>
        <v>0</v>
      </c>
    </row>
    <row r="28" spans="1:10" ht="10.5" customHeight="1" x14ac:dyDescent="0.65">
      <c r="A28" s="6" t="s">
        <v>58</v>
      </c>
      <c r="B28" s="5">
        <f>SUMIF('BS-Q'!$B$3:$AK$3,'BS-A'!B$4,'BS-Q'!$B28:$AK28)</f>
        <v>0</v>
      </c>
      <c r="C28" s="5">
        <f>SUMIF('BS-Q'!$B$3:$AK$3,'BS-A'!C$4,'BS-Q'!$B28:$AK28)</f>
        <v>0</v>
      </c>
      <c r="D28" s="5">
        <f>SUMIF('BS-Q'!$B$3:$AK$3,'BS-A'!D$4,'BS-Q'!$B28:$AK28)</f>
        <v>0</v>
      </c>
      <c r="E28" s="5">
        <f>SUMIF('BS-Q'!$B$3:$AK$3,'BS-A'!E$4,'BS-Q'!$B28:$AK28)</f>
        <v>0.24</v>
      </c>
      <c r="F28" s="5">
        <f>SUMIF('BS-Q'!$B$3:$AK$3,'BS-A'!F$4,'BS-Q'!$B28:$AK28)</f>
        <v>0.24</v>
      </c>
      <c r="G28" s="5">
        <f>SUMIF('BS-Q'!$B$3:$AK$3,'BS-A'!G$4,'BS-Q'!$B28:$AK28)</f>
        <v>0.24</v>
      </c>
      <c r="H28" s="5">
        <f>SUMIF('BS-Q'!$B$3:$AK$3,'BS-A'!H$4,'BS-Q'!$B28:$AK28)</f>
        <v>0.24</v>
      </c>
      <c r="I28" s="5">
        <f>SUMIF('BS-Q'!$B$3:$AK$3,'BS-A'!I$4,'BS-Q'!$B28:$AK28)</f>
        <v>0.24</v>
      </c>
      <c r="J28" s="5">
        <f>SUMIF('BS-Q'!$B$3:$AK$3,'BS-A'!J$4,'BS-Q'!$B28:$AK28)</f>
        <v>0.24</v>
      </c>
    </row>
    <row r="29" spans="1:10" ht="10.5" customHeight="1" x14ac:dyDescent="0.65">
      <c r="A29" s="6" t="s">
        <v>57</v>
      </c>
      <c r="B29" s="5">
        <f>SUMIF('BS-Q'!$B$3:$AK$3,'BS-A'!B$4,'BS-Q'!$B29:$AK29)</f>
        <v>1000</v>
      </c>
      <c r="C29" s="5">
        <f>SUMIF('BS-Q'!$B$3:$AK$3,'BS-A'!C$4,'BS-Q'!$B29:$AK29)</f>
        <v>1000</v>
      </c>
      <c r="D29" s="5">
        <f>SUMIF('BS-Q'!$B$3:$AK$3,'BS-A'!D$4,'BS-Q'!$B29:$AK29)</f>
        <v>1000</v>
      </c>
      <c r="E29" s="5">
        <f>SUMIF('BS-Q'!$B$3:$AK$3,'BS-A'!E$4,'BS-Q'!$B29:$AK29)</f>
        <v>0</v>
      </c>
      <c r="F29" s="5">
        <f>SUMIF('BS-Q'!$B$3:$AK$3,'BS-A'!F$4,'BS-Q'!$B29:$AK29)</f>
        <v>0</v>
      </c>
      <c r="G29" s="5">
        <f>SUMIF('BS-Q'!$B$3:$AK$3,'BS-A'!G$4,'BS-Q'!$B29:$AK29)</f>
        <v>0</v>
      </c>
      <c r="H29" s="5">
        <f>SUMIF('BS-Q'!$B$3:$AK$3,'BS-A'!H$4,'BS-Q'!$B29:$AK29)</f>
        <v>0</v>
      </c>
      <c r="I29" s="5">
        <f>SUMIF('BS-Q'!$B$3:$AK$3,'BS-A'!I$4,'BS-Q'!$B29:$AK29)</f>
        <v>0</v>
      </c>
      <c r="J29" s="5">
        <f>SUMIF('BS-Q'!$B$3:$AK$3,'BS-A'!J$4,'BS-Q'!$B29:$AK29)</f>
        <v>0</v>
      </c>
    </row>
    <row r="30" spans="1:10" ht="10.5" customHeight="1" x14ac:dyDescent="0.65">
      <c r="A30" s="6" t="s">
        <v>56</v>
      </c>
      <c r="B30" s="5">
        <f>SUMIF('BS-Q'!$B$3:$AK$3,'BS-A'!B$4,'BS-Q'!$B30:$AK30)</f>
        <v>0</v>
      </c>
      <c r="C30" s="5">
        <f>SUMIF('BS-Q'!$B$3:$AK$3,'BS-A'!C$4,'BS-Q'!$B30:$AK30)</f>
        <v>0</v>
      </c>
      <c r="D30" s="5">
        <f>SUMIF('BS-Q'!$B$3:$AK$3,'BS-A'!D$4,'BS-Q'!$B30:$AK30)</f>
        <v>0</v>
      </c>
      <c r="E30" s="5">
        <f>SUMIF('BS-Q'!$B$3:$AK$3,'BS-A'!E$4,'BS-Q'!$B30:$AK30)</f>
        <v>19163.8</v>
      </c>
      <c r="F30" s="5">
        <f>SUMIF('BS-Q'!$B$3:$AK$3,'BS-A'!F$4,'BS-Q'!$B30:$AK30)</f>
        <v>19163.8</v>
      </c>
      <c r="G30" s="5">
        <f>SUMIF('BS-Q'!$B$3:$AK$3,'BS-A'!G$4,'BS-Q'!$B30:$AK30)</f>
        <v>19163.8</v>
      </c>
      <c r="H30" s="5">
        <f>SUMIF('BS-Q'!$B$3:$AK$3,'BS-A'!H$4,'BS-Q'!$B30:$AK30)</f>
        <v>19163.8</v>
      </c>
      <c r="I30" s="5">
        <f>SUMIF('BS-Q'!$B$3:$AK$3,'BS-A'!I$4,'BS-Q'!$B30:$AK30)</f>
        <v>19163.8</v>
      </c>
      <c r="J30" s="5">
        <f>SUMIF('BS-Q'!$B$3:$AK$3,'BS-A'!J$4,'BS-Q'!$B30:$AK30)</f>
        <v>19163.8</v>
      </c>
    </row>
    <row r="31" spans="1:10" ht="10.5" customHeight="1" x14ac:dyDescent="0.65">
      <c r="A31" s="6" t="s">
        <v>273</v>
      </c>
      <c r="B31" s="5">
        <f>SUMIF('BS-Q'!$B$3:$AK$3,'BS-A'!B$4,'BS-Q'!$B31:$AK31)</f>
        <v>0</v>
      </c>
      <c r="C31" s="5">
        <f>SUMIF('BS-Q'!$B$3:$AK$3,'BS-A'!C$4,'BS-Q'!$B31:$AK31)</f>
        <v>0</v>
      </c>
      <c r="D31" s="5">
        <f>SUMIF('BS-Q'!$B$3:$AK$3,'BS-A'!D$4,'BS-Q'!$B31:$AK31)</f>
        <v>0</v>
      </c>
      <c r="E31" s="5">
        <f>SUMIF('BS-Q'!$B$3:$AK$3,'BS-A'!E$4,'BS-Q'!$B31:$AK31)</f>
        <v>0</v>
      </c>
      <c r="F31" s="5">
        <f>SUMIF('BS-Q'!$B$3:$AK$3,'BS-A'!F$4,'BS-Q'!$B31:$AK31)</f>
        <v>0</v>
      </c>
      <c r="G31" s="5">
        <f>SUMIF('BS-Q'!$B$3:$AK$3,'BS-A'!G$4,'BS-Q'!$B31:$AK31)</f>
        <v>0</v>
      </c>
      <c r="H31" s="5">
        <f>SUMIF('BS-Q'!$B$3:$AK$3,'BS-A'!H$4,'BS-Q'!$B31:$AK31)</f>
        <v>0</v>
      </c>
      <c r="I31" s="5">
        <f>SUMIF('BS-Q'!$B$3:$AK$3,'BS-A'!I$4,'BS-Q'!$B31:$AK31)</f>
        <v>0</v>
      </c>
      <c r="J31" s="5">
        <f>SUMIF('BS-Q'!$B$3:$AK$3,'BS-A'!J$4,'BS-Q'!$B31:$AK31)</f>
        <v>0</v>
      </c>
    </row>
    <row r="32" spans="1:10" ht="10.5" customHeight="1" x14ac:dyDescent="0.65">
      <c r="A32" s="6" t="s">
        <v>274</v>
      </c>
      <c r="B32" s="5">
        <f>SUMIF('BS-Q'!$B$3:$AK$3,'BS-A'!B$4,'BS-Q'!$B32:$AK32)</f>
        <v>0</v>
      </c>
      <c r="C32" s="5">
        <f>SUMIF('BS-Q'!$B$3:$AK$3,'BS-A'!C$4,'BS-Q'!$B32:$AK32)</f>
        <v>0</v>
      </c>
      <c r="D32" s="5">
        <f>SUMIF('BS-Q'!$B$3:$AK$3,'BS-A'!D$4,'BS-Q'!$B32:$AK32)</f>
        <v>940.6</v>
      </c>
      <c r="E32" s="5">
        <f>SUMIF('BS-Q'!$B$3:$AK$3,'BS-A'!E$4,'BS-Q'!$B32:$AK32)</f>
        <v>0</v>
      </c>
      <c r="F32" s="5">
        <f>SUMIF('BS-Q'!$B$3:$AK$3,'BS-A'!F$4,'BS-Q'!$B32:$AK32)</f>
        <v>0</v>
      </c>
      <c r="G32" s="5">
        <f>SUMIF('BS-Q'!$B$3:$AK$3,'BS-A'!G$4,'BS-Q'!$B32:$AK32)</f>
        <v>0</v>
      </c>
      <c r="H32" s="5">
        <f>SUMIF('BS-Q'!$B$3:$AK$3,'BS-A'!H$4,'BS-Q'!$B32:$AK32)</f>
        <v>0</v>
      </c>
      <c r="I32" s="5">
        <f>SUMIF('BS-Q'!$B$3:$AK$3,'BS-A'!I$4,'BS-Q'!$B32:$AK32)</f>
        <v>0</v>
      </c>
      <c r="J32" s="5">
        <f>SUMIF('BS-Q'!$B$3:$AK$3,'BS-A'!J$4,'BS-Q'!$B32:$AK32)</f>
        <v>0</v>
      </c>
    </row>
    <row r="33" spans="1:10" ht="10.5" customHeight="1" x14ac:dyDescent="0.65">
      <c r="A33" s="8" t="s">
        <v>55</v>
      </c>
      <c r="B33" s="9">
        <f t="shared" ref="B33:J33" si="4">SUM(B22:B32)</f>
        <v>83003.210000000006</v>
      </c>
      <c r="C33" s="9">
        <f t="shared" si="4"/>
        <v>79053.070000000007</v>
      </c>
      <c r="D33" s="9">
        <f t="shared" si="4"/>
        <v>8871.82</v>
      </c>
      <c r="E33" s="9">
        <f t="shared" si="4"/>
        <v>88969.62000000001</v>
      </c>
      <c r="F33" s="9">
        <f t="shared" si="4"/>
        <v>88969.62000000001</v>
      </c>
      <c r="G33" s="9">
        <f t="shared" si="4"/>
        <v>88969.62000000001</v>
      </c>
      <c r="H33" s="9">
        <f t="shared" si="4"/>
        <v>88969.62000000001</v>
      </c>
      <c r="I33" s="9">
        <f t="shared" si="4"/>
        <v>88969.62000000001</v>
      </c>
      <c r="J33" s="9">
        <f t="shared" si="4"/>
        <v>88969.62000000001</v>
      </c>
    </row>
    <row r="34" spans="1:10" ht="13.4" customHeight="1" x14ac:dyDescent="0.65"/>
    <row r="35" spans="1:10" ht="10.5" customHeight="1" x14ac:dyDescent="0.65">
      <c r="A35" s="10" t="s">
        <v>54</v>
      </c>
      <c r="B35" s="11">
        <f t="shared" ref="B35:J35" si="5">(B19 - B33)</f>
        <v>95339.089999999982</v>
      </c>
      <c r="C35" s="11">
        <f t="shared" si="5"/>
        <v>206823.96999999997</v>
      </c>
      <c r="D35" s="11">
        <f t="shared" si="5"/>
        <v>227285.7</v>
      </c>
      <c r="E35" s="11">
        <f t="shared" si="5"/>
        <v>357819.58</v>
      </c>
      <c r="F35" s="11">
        <f t="shared" si="5"/>
        <v>2649153.9324619025</v>
      </c>
      <c r="G35" s="11">
        <f t="shared" si="5"/>
        <v>2001821.2279207997</v>
      </c>
      <c r="H35" s="11">
        <f t="shared" si="5"/>
        <v>1979152.630697136</v>
      </c>
      <c r="I35" s="11">
        <f t="shared" si="5"/>
        <v>11965717.271697637</v>
      </c>
      <c r="J35" s="11">
        <f t="shared" si="5"/>
        <v>34530374.390320122</v>
      </c>
    </row>
    <row r="36" spans="1:10" ht="13.4" customHeight="1" x14ac:dyDescent="0.65"/>
    <row r="37" spans="1:10" ht="10.5" customHeight="1" x14ac:dyDescent="0.65">
      <c r="A37" s="10" t="s">
        <v>53</v>
      </c>
      <c r="B37" s="11">
        <f t="shared" ref="B37:J37" si="6">(B9 + B35)</f>
        <v>102212.29999999999</v>
      </c>
      <c r="C37" s="11">
        <f t="shared" si="6"/>
        <v>216282.50999999998</v>
      </c>
      <c r="D37" s="11">
        <f t="shared" si="6"/>
        <v>227463.16</v>
      </c>
      <c r="E37" s="11">
        <f t="shared" si="6"/>
        <v>357962.57</v>
      </c>
      <c r="F37" s="11">
        <f t="shared" si="6"/>
        <v>2649296.9224619027</v>
      </c>
      <c r="G37" s="11">
        <f t="shared" si="6"/>
        <v>2001964.2179207997</v>
      </c>
      <c r="H37" s="11">
        <f t="shared" si="6"/>
        <v>1979295.620697136</v>
      </c>
      <c r="I37" s="11">
        <f t="shared" si="6"/>
        <v>11965860.261697637</v>
      </c>
      <c r="J37" s="11">
        <f t="shared" si="6"/>
        <v>34530517.380320124</v>
      </c>
    </row>
    <row r="38" spans="1:10" ht="13.4" customHeight="1" x14ac:dyDescent="0.65"/>
    <row r="39" spans="1:10" ht="13" customHeight="1" x14ac:dyDescent="0.65">
      <c r="A39" s="35" t="s">
        <v>52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 ht="10.5" customHeight="1" x14ac:dyDescent="0.65">
      <c r="A40" s="4" t="s">
        <v>51</v>
      </c>
      <c r="B40" s="5">
        <f>SUMIF('BS-Q'!$B$3:$AK$3,'BS-A'!B$4,'BS-Q'!$B40:$AK40)</f>
        <v>0</v>
      </c>
      <c r="C40" s="5">
        <f>SUMIF('BS-Q'!$B$3:$AK$3,'BS-A'!C$4,'BS-Q'!$B40:$AK40)</f>
        <v>35000</v>
      </c>
      <c r="D40" s="5">
        <f>SUMIF('BS-Q'!$B$3:$AK$3,'BS-A'!D$4,'BS-Q'!$B40:$AK40)</f>
        <v>30429.25</v>
      </c>
      <c r="E40" s="5">
        <f>SUMIF('BS-Q'!$B$3:$AK$3,'BS-A'!E$4,'BS-Q'!$B40:$AK40)</f>
        <v>23916.67</v>
      </c>
      <c r="F40" s="5">
        <f>SUMIF('BS-Q'!$B$3:$AK$3,'BS-A'!F$4,'BS-Q'!$B40:$AK40)</f>
        <v>23916.67</v>
      </c>
      <c r="G40" s="5">
        <f>SUMIF('BS-Q'!$B$3:$AK$3,'BS-A'!G$4,'BS-Q'!$B40:$AK40)</f>
        <v>23916.67</v>
      </c>
      <c r="H40" s="5">
        <f>SUMIF('BS-Q'!$B$3:$AK$3,'BS-A'!H$4,'BS-Q'!$B40:$AK40)</f>
        <v>23916.67</v>
      </c>
      <c r="I40" s="5">
        <f>SUMIF('BS-Q'!$B$3:$AK$3,'BS-A'!I$4,'BS-Q'!$B40:$AK40)</f>
        <v>23916.67</v>
      </c>
      <c r="J40" s="5">
        <f>SUMIF('BS-Q'!$B$3:$AK$3,'BS-A'!J$4,'BS-Q'!$B40:$AK40)</f>
        <v>23916.67</v>
      </c>
    </row>
    <row r="41" spans="1:10" ht="10.5" customHeight="1" x14ac:dyDescent="0.65">
      <c r="A41" s="6" t="s">
        <v>50</v>
      </c>
      <c r="B41" s="5">
        <f>SUMIF('BS-Q'!$B$3:$AK$3,'BS-A'!B$4,'BS-Q'!$B41:$AK41)</f>
        <v>0</v>
      </c>
      <c r="C41" s="5">
        <f>SUMIF('BS-Q'!$B$3:$AK$3,'BS-A'!C$4,'BS-Q'!$B41:$AK41)</f>
        <v>0</v>
      </c>
      <c r="D41" s="5">
        <f>SUMIF('BS-Q'!$B$3:$AK$3,'BS-A'!D$4,'BS-Q'!$B41:$AK41)</f>
        <v>0</v>
      </c>
      <c r="E41" s="5">
        <f>SUMIF('BS-Q'!$B$3:$AK$3,'BS-A'!E$4,'BS-Q'!$B41:$AK41)</f>
        <v>0</v>
      </c>
      <c r="F41" s="5">
        <f>SUMIF('BS-Q'!$B$3:$AK$3,'BS-A'!F$4,'BS-Q'!$B41:$AK41)</f>
        <v>0</v>
      </c>
      <c r="G41" s="5">
        <f>SUMIF('BS-Q'!$B$3:$AK$3,'BS-A'!G$4,'BS-Q'!$B41:$AK41)</f>
        <v>0</v>
      </c>
      <c r="H41" s="5">
        <f>SUMIF('BS-Q'!$B$3:$AK$3,'BS-A'!H$4,'BS-Q'!$B41:$AK41)</f>
        <v>0</v>
      </c>
      <c r="I41" s="5">
        <f>SUMIF('BS-Q'!$B$3:$AK$3,'BS-A'!I$4,'BS-Q'!$B41:$AK41)</f>
        <v>0</v>
      </c>
      <c r="J41" s="5">
        <f>SUMIF('BS-Q'!$B$3:$AK$3,'BS-A'!J$4,'BS-Q'!$B41:$AK41)</f>
        <v>0</v>
      </c>
    </row>
    <row r="42" spans="1:10" ht="10.5" customHeight="1" x14ac:dyDescent="0.65">
      <c r="A42" s="8" t="s">
        <v>49</v>
      </c>
      <c r="B42" s="9">
        <f t="shared" ref="B42:J42" si="7">SUM(B40:B41)</f>
        <v>0</v>
      </c>
      <c r="C42" s="9">
        <f t="shared" si="7"/>
        <v>35000</v>
      </c>
      <c r="D42" s="9">
        <f t="shared" si="7"/>
        <v>30429.25</v>
      </c>
      <c r="E42" s="9">
        <f t="shared" si="7"/>
        <v>23916.67</v>
      </c>
      <c r="F42" s="9">
        <f t="shared" si="7"/>
        <v>23916.67</v>
      </c>
      <c r="G42" s="9">
        <f t="shared" si="7"/>
        <v>23916.67</v>
      </c>
      <c r="H42" s="9">
        <f t="shared" si="7"/>
        <v>23916.67</v>
      </c>
      <c r="I42" s="9">
        <f t="shared" si="7"/>
        <v>23916.67</v>
      </c>
      <c r="J42" s="9">
        <f t="shared" si="7"/>
        <v>23916.67</v>
      </c>
    </row>
    <row r="43" spans="1:10" ht="13.4" customHeight="1" x14ac:dyDescent="0.65"/>
    <row r="44" spans="1:10" ht="10.5" customHeight="1" x14ac:dyDescent="0.65">
      <c r="A44" s="10" t="s">
        <v>48</v>
      </c>
      <c r="B44" s="11">
        <f t="shared" ref="B44:J44" si="8">(B37 - (B42 + 0))</f>
        <v>102212.29999999999</v>
      </c>
      <c r="C44" s="11">
        <f t="shared" si="8"/>
        <v>181282.50999999998</v>
      </c>
      <c r="D44" s="11">
        <f t="shared" si="8"/>
        <v>197033.91</v>
      </c>
      <c r="E44" s="11">
        <f t="shared" si="8"/>
        <v>334045.90000000002</v>
      </c>
      <c r="F44" s="11">
        <f t="shared" si="8"/>
        <v>2625380.2524619028</v>
      </c>
      <c r="G44" s="11">
        <f t="shared" si="8"/>
        <v>1978047.5479207998</v>
      </c>
      <c r="H44" s="11">
        <f t="shared" si="8"/>
        <v>1955378.9506971361</v>
      </c>
      <c r="I44" s="11">
        <f t="shared" si="8"/>
        <v>11941943.591697637</v>
      </c>
      <c r="J44" s="11">
        <f t="shared" si="8"/>
        <v>34506600.710320123</v>
      </c>
    </row>
    <row r="45" spans="1:10" ht="13.4" customHeight="1" x14ac:dyDescent="0.65"/>
    <row r="46" spans="1:10" ht="13" customHeight="1" x14ac:dyDescent="0.65">
      <c r="A46" s="35" t="s">
        <v>47</v>
      </c>
      <c r="B46" s="35"/>
      <c r="C46" s="35"/>
      <c r="D46" s="35"/>
      <c r="E46" s="35"/>
      <c r="F46" s="35"/>
      <c r="G46" s="35"/>
      <c r="H46" s="35"/>
      <c r="I46" s="35"/>
      <c r="J46" s="35"/>
    </row>
    <row r="47" spans="1:10" ht="10.5" customHeight="1" x14ac:dyDescent="0.65">
      <c r="A47" s="4" t="s">
        <v>46</v>
      </c>
      <c r="B47" s="5">
        <f>SUMIF('BS-Q'!$B$3:$AK$3,'BS-A'!B$4,'BS-Q'!$B47:$AK47)</f>
        <v>-322855.38</v>
      </c>
      <c r="C47" s="5">
        <f>SUMIF('BS-Q'!$B$3:$AK$3,'BS-A'!C$4,'BS-Q'!$B47:$AK47)</f>
        <v>-515529.79</v>
      </c>
      <c r="D47" s="5">
        <f>SUMIF('BS-Q'!$B$3:$AK$3,'BS-A'!D$4,'BS-Q'!$B47:$AK47)</f>
        <v>-726565.08</v>
      </c>
      <c r="E47" s="5">
        <f>SUMIF('BS-Q'!$B$3:$AK$3,'BS-A'!E$4,'BS-Q'!$B47:$AK47)</f>
        <v>-874936.36</v>
      </c>
      <c r="F47" s="5">
        <f>SUMIF('BS-Q'!$B$3:$AK$3,'BS-A'!F$4,'BS-Q'!$B47:$AK47)</f>
        <v>-1583602.0075380977</v>
      </c>
      <c r="G47" s="5">
        <f>SUMIF('BS-Q'!$B$3:$AK$3,'BS-A'!G$4,'BS-Q'!$B47:$AK47)</f>
        <v>-2230934.7120792</v>
      </c>
      <c r="H47" s="5">
        <f>SUMIF('BS-Q'!$B$3:$AK$3,'BS-A'!H$4,'BS-Q'!$B47:$AK47)</f>
        <v>-2253603.3093028641</v>
      </c>
      <c r="I47" s="5">
        <f>SUMIF('BS-Q'!$B$3:$AK$3,'BS-A'!I$4,'BS-Q'!$B47:$AK47)</f>
        <v>7732961.3316976372</v>
      </c>
      <c r="J47" s="5">
        <f>SUMIF('BS-Q'!$B$3:$AK$3,'BS-A'!J$4,'BS-Q'!$B47:$AK47)</f>
        <v>30297618.45032011</v>
      </c>
    </row>
    <row r="48" spans="1:10" ht="10.5" customHeight="1" x14ac:dyDescent="0.65">
      <c r="A48" s="6" t="s">
        <v>45</v>
      </c>
      <c r="B48" s="5">
        <f>SUMIF('BS-Q'!$B$3:$AK$3,'BS-A'!B$4,'BS-Q'!$B48:$AK48)</f>
        <v>-68928.05</v>
      </c>
      <c r="C48" s="5">
        <f>SUMIF('BS-Q'!$B$3:$AK$3,'BS-A'!C$4,'BS-Q'!$B48:$AK48)</f>
        <v>-391783.43</v>
      </c>
      <c r="D48" s="5">
        <f>SUMIF('BS-Q'!$B$3:$AK$3,'BS-A'!D$4,'BS-Q'!$B48:$AK48)</f>
        <v>-907313.22</v>
      </c>
      <c r="E48" s="5">
        <f>SUMIF('BS-Q'!$B$3:$AK$3,'BS-A'!E$4,'BS-Q'!$B48:$AK48)</f>
        <v>-1633390.88</v>
      </c>
      <c r="F48" s="5">
        <f>SUMIF('BS-Q'!$B$3:$AK$3,'BS-A'!F$4,'BS-Q'!$B48:$AK48)</f>
        <v>-1633390.88</v>
      </c>
      <c r="G48" s="5">
        <f>SUMIF('BS-Q'!$B$3:$AK$3,'BS-A'!G$4,'BS-Q'!$B48:$AK48)</f>
        <v>-1633390.88</v>
      </c>
      <c r="H48" s="5">
        <f>SUMIF('BS-Q'!$B$3:$AK$3,'BS-A'!H$4,'BS-Q'!$B48:$AK48)</f>
        <v>-1633390.88</v>
      </c>
      <c r="I48" s="5">
        <f>SUMIF('BS-Q'!$B$3:$AK$3,'BS-A'!I$4,'BS-Q'!$B48:$AK48)</f>
        <v>-1633390.88</v>
      </c>
      <c r="J48" s="5">
        <f>SUMIF('BS-Q'!$B$3:$AK$3,'BS-A'!J$4,'BS-Q'!$B48:$AK48)</f>
        <v>-1633390.88</v>
      </c>
    </row>
    <row r="49" spans="1:10" ht="10.5" customHeight="1" x14ac:dyDescent="0.65">
      <c r="A49" s="6" t="s">
        <v>44</v>
      </c>
      <c r="B49" s="5">
        <f>SUMIF('BS-Q'!$B$3:$AK$3,'BS-A'!B$4,'BS-Q'!$B49:$AK49)</f>
        <v>493995.73</v>
      </c>
      <c r="C49" s="5">
        <f>SUMIF('BS-Q'!$B$3:$AK$3,'BS-A'!C$4,'BS-Q'!$B49:$AK49)</f>
        <v>1088595.73</v>
      </c>
      <c r="D49" s="5">
        <f>SUMIF('BS-Q'!$B$3:$AK$3,'BS-A'!D$4,'BS-Q'!$B49:$AK49)</f>
        <v>1830912.21</v>
      </c>
      <c r="E49" s="5">
        <f>SUMIF('BS-Q'!$B$3:$AK$3,'BS-A'!E$4,'BS-Q'!$B49:$AK49)</f>
        <v>2842373.14</v>
      </c>
      <c r="F49" s="5">
        <f>SUMIF('BS-Q'!$B$3:$AK$3,'BS-A'!F$4,'BS-Q'!$B49:$AK49)</f>
        <v>5842373.1400000006</v>
      </c>
      <c r="G49" s="5">
        <f>SUMIF('BS-Q'!$B$3:$AK$3,'BS-A'!G$4,'BS-Q'!$B49:$AK49)</f>
        <v>5842373.1400000006</v>
      </c>
      <c r="H49" s="5">
        <f>SUMIF('BS-Q'!$B$3:$AK$3,'BS-A'!H$4,'BS-Q'!$B49:$AK49)</f>
        <v>5842373.1400000006</v>
      </c>
      <c r="I49" s="5">
        <f>SUMIF('BS-Q'!$B$3:$AK$3,'BS-A'!I$4,'BS-Q'!$B49:$AK49)</f>
        <v>5842373.1400000006</v>
      </c>
      <c r="J49" s="5">
        <f>SUMIF('BS-Q'!$B$3:$AK$3,'BS-A'!J$4,'BS-Q'!$B49:$AK49)</f>
        <v>5842373.1400000006</v>
      </c>
    </row>
    <row r="50" spans="1:10" ht="10.5" customHeight="1" x14ac:dyDescent="0.65">
      <c r="A50" s="8" t="s">
        <v>43</v>
      </c>
      <c r="B50" s="9">
        <f t="shared" ref="B50:J50" si="9">SUM(B47:B49)</f>
        <v>102212.29999999999</v>
      </c>
      <c r="C50" s="9">
        <f t="shared" si="9"/>
        <v>181282.51</v>
      </c>
      <c r="D50" s="9">
        <f t="shared" si="9"/>
        <v>197033.91000000015</v>
      </c>
      <c r="E50" s="9">
        <f t="shared" si="9"/>
        <v>334045.90000000037</v>
      </c>
      <c r="F50" s="9">
        <f t="shared" si="9"/>
        <v>2625380.2524619028</v>
      </c>
      <c r="G50" s="9">
        <f t="shared" si="9"/>
        <v>1978047.5479208007</v>
      </c>
      <c r="H50" s="9">
        <f t="shared" si="9"/>
        <v>1955378.9506971366</v>
      </c>
      <c r="I50" s="9">
        <f t="shared" si="9"/>
        <v>11941943.591697637</v>
      </c>
      <c r="J50" s="9">
        <f t="shared" si="9"/>
        <v>34506600.710320115</v>
      </c>
    </row>
  </sheetData>
  <pageMargins left="0.7" right="0.7" top="0.75" bottom="0.75" header="0.3" footer="0.3"/>
  <pageSetup paperSize="9" scale="91" fitToWidth="0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53297-DCD2-41DA-B950-0FEA03F51F63}">
  <sheetPr>
    <tabColor theme="5" tint="0.79998168889431442"/>
  </sheetPr>
  <dimension ref="A1:R41"/>
  <sheetViews>
    <sheetView showGridLines="0" zoomScale="115" zoomScaleNormal="115" workbookViewId="0">
      <selection activeCell="B1" sqref="B1"/>
    </sheetView>
  </sheetViews>
  <sheetFormatPr defaultRowHeight="25.25" x14ac:dyDescent="0.65"/>
  <cols>
    <col min="1" max="1" width="1" customWidth="1"/>
    <col min="2" max="2" width="34.33203125" customWidth="1"/>
    <col min="3" max="4" width="10.58203125" customWidth="1"/>
    <col min="5" max="5" width="10.33203125" customWidth="1"/>
    <col min="6" max="6" width="10.4140625" customWidth="1"/>
    <col min="7" max="8" width="10.58203125" customWidth="1"/>
    <col min="9" max="9" width="10.33203125" customWidth="1"/>
    <col min="10" max="10" width="10.4140625" customWidth="1"/>
    <col min="11" max="11" width="10.58203125" customWidth="1"/>
    <col min="12" max="12" width="10.58203125" style="33" customWidth="1"/>
    <col min="13" max="13" width="10.33203125" style="33" customWidth="1"/>
    <col min="14" max="14" width="10.4140625" style="33" customWidth="1"/>
    <col min="15" max="16" width="10.58203125" style="33" customWidth="1"/>
    <col min="17" max="17" width="10.33203125" style="33" customWidth="1"/>
    <col min="18" max="18" width="10.4140625" style="33" customWidth="1"/>
  </cols>
  <sheetData>
    <row r="1" spans="1:11" ht="25.5" customHeight="1" x14ac:dyDescent="0.65">
      <c r="A1" s="47" t="s">
        <v>117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8" customHeight="1" x14ac:dyDescent="0.65">
      <c r="A2" s="51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8" customHeight="1" x14ac:dyDescent="0.6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3.4" customHeight="1" x14ac:dyDescent="0.65">
      <c r="C4" s="40">
        <v>4</v>
      </c>
      <c r="D4" s="40">
        <f>C4+4</f>
        <v>8</v>
      </c>
      <c r="E4" s="40">
        <f t="shared" ref="E4:K4" si="0">D4+4</f>
        <v>12</v>
      </c>
      <c r="F4" s="40">
        <f t="shared" si="0"/>
        <v>16</v>
      </c>
      <c r="G4" s="40">
        <f t="shared" si="0"/>
        <v>20</v>
      </c>
      <c r="H4" s="40">
        <f t="shared" si="0"/>
        <v>24</v>
      </c>
      <c r="I4" s="40">
        <f t="shared" si="0"/>
        <v>28</v>
      </c>
      <c r="J4" s="40">
        <f t="shared" si="0"/>
        <v>32</v>
      </c>
      <c r="K4" s="40">
        <f t="shared" si="0"/>
        <v>36</v>
      </c>
    </row>
    <row r="5" spans="1:11" ht="10.5" customHeight="1" x14ac:dyDescent="0.65">
      <c r="A5" s="1"/>
      <c r="B5" s="2" t="s">
        <v>1</v>
      </c>
      <c r="C5" s="3">
        <v>2019</v>
      </c>
      <c r="D5" s="3">
        <f>C5+1</f>
        <v>2020</v>
      </c>
      <c r="E5" s="3">
        <f t="shared" ref="E5:K5" si="1">D5+1</f>
        <v>2021</v>
      </c>
      <c r="F5" s="3">
        <f t="shared" si="1"/>
        <v>2022</v>
      </c>
      <c r="G5" s="3">
        <f t="shared" si="1"/>
        <v>2023</v>
      </c>
      <c r="H5" s="3">
        <f t="shared" si="1"/>
        <v>2024</v>
      </c>
      <c r="I5" s="3">
        <f t="shared" si="1"/>
        <v>2025</v>
      </c>
      <c r="J5" s="3">
        <f t="shared" si="1"/>
        <v>2026</v>
      </c>
      <c r="K5" s="3">
        <f t="shared" si="1"/>
        <v>2027</v>
      </c>
    </row>
    <row r="6" spans="1:11" ht="13.4" customHeight="1" x14ac:dyDescent="0.65"/>
    <row r="7" spans="1:11" ht="13" customHeight="1" x14ac:dyDescent="0.65">
      <c r="A7" s="48" t="s">
        <v>115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0.5" customHeight="1" x14ac:dyDescent="0.65">
      <c r="A8" s="12"/>
      <c r="B8" s="12" t="s">
        <v>114</v>
      </c>
      <c r="C8" s="12"/>
      <c r="D8" s="12"/>
      <c r="E8" s="12"/>
      <c r="F8" s="12"/>
      <c r="G8" s="12"/>
      <c r="H8" s="12"/>
      <c r="I8" s="12"/>
      <c r="J8" s="12"/>
      <c r="K8" s="12"/>
    </row>
    <row r="9" spans="1:11" ht="10.5" customHeight="1" x14ac:dyDescent="0.65">
      <c r="B9" s="6" t="s">
        <v>18</v>
      </c>
      <c r="C9" s="7">
        <f>SUMIF('CFS-Q'!$C$4:$AL$4,C$5,'CFS-Q'!$C9:$AL9)</f>
        <v>103831.78</v>
      </c>
      <c r="D9" s="7">
        <f>SUMIF('CFS-Q'!$C$4:$AL$4,D$5,'CFS-Q'!$C9:$AL9)</f>
        <v>291941.86</v>
      </c>
      <c r="E9" s="7">
        <f>SUMIF('CFS-Q'!$C$4:$AL$4,E$5,'CFS-Q'!$C9:$AL9)</f>
        <v>801900.62</v>
      </c>
      <c r="F9" s="7">
        <f>SUMIF('CFS-Q'!$C$4:$AL$4,F$5,'CFS-Q'!$C9:$AL9)</f>
        <v>618448.97</v>
      </c>
      <c r="G9" s="7">
        <f>SUMIF('CFS-Q'!$C$4:$AL$4,G$5,'CFS-Q'!$C9:$AL9)</f>
        <v>1404773.232350464</v>
      </c>
      <c r="H9" s="7">
        <f>SUMIF('CFS-Q'!$C$4:$AL$4,H$5,'CFS-Q'!$C9:$AL9)</f>
        <v>3735273.750289062</v>
      </c>
      <c r="I9" s="7">
        <f>SUMIF('CFS-Q'!$C$4:$AL$4,I$5,'CFS-Q'!$C9:$AL9)</f>
        <v>17984806.447873689</v>
      </c>
      <c r="J9" s="7">
        <f>SUMIF('CFS-Q'!$C$4:$AL$4,J$5,'CFS-Q'!$C9:$AL9)</f>
        <v>76323199.33562912</v>
      </c>
      <c r="K9" s="7">
        <f>SUMIF('CFS-Q'!$C$4:$AL$4,K$5,'CFS-Q'!$C9:$AL9)</f>
        <v>156114334.3155008</v>
      </c>
    </row>
    <row r="10" spans="1:11" ht="10.5" customHeight="1" x14ac:dyDescent="0.65">
      <c r="B10" s="6" t="s">
        <v>19</v>
      </c>
      <c r="C10" s="7">
        <f>SUMIF('CFS-Q'!$C$4:$AL$4,C$5,'CFS-Q'!$C10:$AL10)</f>
        <v>0</v>
      </c>
      <c r="D10" s="7">
        <f>SUMIF('CFS-Q'!$C$4:$AL$4,D$5,'CFS-Q'!$C10:$AL10)</f>
        <v>1740</v>
      </c>
      <c r="E10" s="7">
        <f>SUMIF('CFS-Q'!$C$4:$AL$4,E$5,'CFS-Q'!$C10:$AL10)</f>
        <v>28603.350000000002</v>
      </c>
      <c r="F10" s="7">
        <f>SUMIF('CFS-Q'!$C$4:$AL$4,F$5,'CFS-Q'!$C10:$AL10)</f>
        <v>31227.190000000002</v>
      </c>
      <c r="G10" s="7">
        <f>SUMIF('CFS-Q'!$C$4:$AL$4,G$5,'CFS-Q'!$C10:$AL10)</f>
        <v>29531.25</v>
      </c>
      <c r="H10" s="7">
        <f>SUMIF('CFS-Q'!$C$4:$AL$4,H$5,'CFS-Q'!$C10:$AL10)</f>
        <v>594170.58823529421</v>
      </c>
      <c r="I10" s="7">
        <f>SUMIF('CFS-Q'!$C$4:$AL$4,I$5,'CFS-Q'!$C10:$AL10)</f>
        <v>6701825.7352941185</v>
      </c>
      <c r="J10" s="7">
        <f>SUMIF('CFS-Q'!$C$4:$AL$4,J$5,'CFS-Q'!$C10:$AL10)</f>
        <v>15388536.397058826</v>
      </c>
      <c r="K10" s="7">
        <f>SUMIF('CFS-Q'!$C$4:$AL$4,K$5,'CFS-Q'!$C10:$AL10)</f>
        <v>24947678.308823533</v>
      </c>
    </row>
    <row r="11" spans="1:11" ht="10.5" customHeight="1" x14ac:dyDescent="0.65">
      <c r="B11" s="8" t="s">
        <v>113</v>
      </c>
      <c r="C11" s="9">
        <f t="shared" ref="C11:K11" si="2">SUM(C9:C10)</f>
        <v>103831.78</v>
      </c>
      <c r="D11" s="9">
        <f t="shared" si="2"/>
        <v>293681.86</v>
      </c>
      <c r="E11" s="9">
        <f t="shared" si="2"/>
        <v>830503.97</v>
      </c>
      <c r="F11" s="9">
        <f t="shared" si="2"/>
        <v>649676.15999999992</v>
      </c>
      <c r="G11" s="9">
        <f t="shared" si="2"/>
        <v>1434304.482350464</v>
      </c>
      <c r="H11" s="9">
        <f t="shared" si="2"/>
        <v>4329444.3385243565</v>
      </c>
      <c r="I11" s="9">
        <f t="shared" si="2"/>
        <v>24686632.183167808</v>
      </c>
      <c r="J11" s="9">
        <f t="shared" si="2"/>
        <v>91711735.73268795</v>
      </c>
      <c r="K11" s="9">
        <f t="shared" si="2"/>
        <v>181062012.62432432</v>
      </c>
    </row>
    <row r="12" spans="1:11" ht="10.5" customHeight="1" x14ac:dyDescent="0.65">
      <c r="A12" s="12"/>
      <c r="B12" s="12" t="s">
        <v>112</v>
      </c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10.5" customHeight="1" x14ac:dyDescent="0.65">
      <c r="B13" s="6" t="s">
        <v>275</v>
      </c>
      <c r="C13" s="7">
        <f>SUMIF('CFS-Q'!$C$4:$AL$4,C$5,'CFS-Q'!$C13:$AL13)</f>
        <v>-101204.34</v>
      </c>
      <c r="D13" s="7">
        <f>SUMIF('CFS-Q'!$C$4:$AL$4,D$5,'CFS-Q'!$C13:$AL13)</f>
        <v>-260345.2</v>
      </c>
      <c r="E13" s="7">
        <f>SUMIF('CFS-Q'!$C$4:$AL$4,E$5,'CFS-Q'!$C13:$AL13)</f>
        <v>-679163.17999999993</v>
      </c>
      <c r="F13" s="7">
        <f>SUMIF('CFS-Q'!$C$4:$AL$4,F$5,'CFS-Q'!$C13:$AL13)</f>
        <v>-480610.60000000003</v>
      </c>
      <c r="G13" s="7">
        <f>SUMIF('CFS-Q'!$C$4:$AL$4,G$5,'CFS-Q'!$C13:$AL13)</f>
        <v>-827531.71941876225</v>
      </c>
      <c r="H13" s="7">
        <f>SUMIF('CFS-Q'!$C$4:$AL$4,H$5,'CFS-Q'!$C13:$AL13)</f>
        <v>-2653791.4705882352</v>
      </c>
      <c r="I13" s="7">
        <f>SUMIF('CFS-Q'!$C$4:$AL$4,I$5,'CFS-Q'!$C13:$AL13)</f>
        <v>-16071080.588235293</v>
      </c>
      <c r="J13" s="7">
        <f>SUMIF('CFS-Q'!$C$4:$AL$4,J$5,'CFS-Q'!$C13:$AL13)</f>
        <v>-58934669.117647059</v>
      </c>
      <c r="K13" s="7">
        <f>SUMIF('CFS-Q'!$C$4:$AL$4,K$5,'CFS-Q'!$C13:$AL13)</f>
        <v>-113476002.64705881</v>
      </c>
    </row>
    <row r="14" spans="1:11" ht="10.5" customHeight="1" x14ac:dyDescent="0.65">
      <c r="B14" s="6" t="s">
        <v>111</v>
      </c>
      <c r="C14" s="7">
        <f>SUMIF('CFS-Q'!$C$4:$AL$4,C$5,'CFS-Q'!$C14:$AL14)</f>
        <v>-251368.11</v>
      </c>
      <c r="D14" s="7">
        <f>SUMIF('CFS-Q'!$C$4:$AL$4,D$5,'CFS-Q'!$C14:$AL14)</f>
        <v>-430817.78999999992</v>
      </c>
      <c r="E14" s="7">
        <f>SUMIF('CFS-Q'!$C$4:$AL$4,E$5,'CFS-Q'!$C14:$AL14)</f>
        <v>-742982.86</v>
      </c>
      <c r="F14" s="7">
        <f>SUMIF('CFS-Q'!$C$4:$AL$4,F$5,'CFS-Q'!$C14:$AL14)</f>
        <v>-885209.98</v>
      </c>
      <c r="G14" s="7">
        <f>SUMIF('CFS-Q'!$C$4:$AL$4,G$5,'CFS-Q'!$C14:$AL14)</f>
        <v>-872141.37818591692</v>
      </c>
      <c r="H14" s="7">
        <f>SUMIF('CFS-Q'!$C$4:$AL$4,H$5,'CFS-Q'!$C14:$AL14)</f>
        <v>-1473624</v>
      </c>
      <c r="I14" s="7">
        <f>SUMIF('CFS-Q'!$C$4:$AL$4,I$5,'CFS-Q'!$C14:$AL14)</f>
        <v>-5757024</v>
      </c>
      <c r="J14" s="7">
        <f>SUMIF('CFS-Q'!$C$4:$AL$4,J$5,'CFS-Q'!$C14:$AL14)</f>
        <v>-15939888</v>
      </c>
      <c r="K14" s="7">
        <f>SUMIF('CFS-Q'!$C$4:$AL$4,K$5,'CFS-Q'!$C14:$AL14)</f>
        <v>-31482132</v>
      </c>
    </row>
    <row r="15" spans="1:11" ht="10.5" customHeight="1" x14ac:dyDescent="0.65">
      <c r="B15" s="6" t="s">
        <v>110</v>
      </c>
      <c r="C15" s="7">
        <f>SUMIF('CFS-Q'!$C$4:$AL$4,C$5,'CFS-Q'!$C15:$AL15)</f>
        <v>-81166.570000000007</v>
      </c>
      <c r="D15" s="7">
        <f>SUMIF('CFS-Q'!$C$4:$AL$4,D$5,'CFS-Q'!$C15:$AL15)</f>
        <v>-113570.82</v>
      </c>
      <c r="E15" s="7">
        <f>SUMIF('CFS-Q'!$C$4:$AL$4,E$5,'CFS-Q'!$C15:$AL15)</f>
        <v>-139124.71999999997</v>
      </c>
      <c r="F15" s="7">
        <f>SUMIF('CFS-Q'!$C$4:$AL$4,F$5,'CFS-Q'!$C15:$AL15)</f>
        <v>-118077.40999999999</v>
      </c>
      <c r="G15" s="7">
        <f>SUMIF('CFS-Q'!$C$4:$AL$4,G$5,'CFS-Q'!$C15:$AL15)</f>
        <v>-443297.03228388244</v>
      </c>
      <c r="H15" s="7">
        <f>SUMIF('CFS-Q'!$C$4:$AL$4,H$5,'CFS-Q'!$C15:$AL15)</f>
        <v>-849361.57247722358</v>
      </c>
      <c r="I15" s="7">
        <f>SUMIF('CFS-Q'!$C$4:$AL$4,I$5,'CFS-Q'!$C15:$AL15)</f>
        <v>-2881196.192156177</v>
      </c>
      <c r="J15" s="7">
        <f>SUMIF('CFS-Q'!$C$4:$AL$4,J$5,'CFS-Q'!$C15:$AL15)</f>
        <v>-6850613.9740403872</v>
      </c>
      <c r="K15" s="7">
        <f>SUMIF('CFS-Q'!$C$4:$AL$4,K$5,'CFS-Q'!$C15:$AL15)</f>
        <v>-13539220.858643018</v>
      </c>
    </row>
    <row r="16" spans="1:11" ht="10.5" customHeight="1" x14ac:dyDescent="0.65">
      <c r="B16" s="8" t="s">
        <v>109</v>
      </c>
      <c r="C16" s="9">
        <f t="shared" ref="C16:K16" si="3">SUM(C13:C15)</f>
        <v>-433739.01999999996</v>
      </c>
      <c r="D16" s="9">
        <f t="shared" si="3"/>
        <v>-804733.81</v>
      </c>
      <c r="E16" s="9">
        <f t="shared" si="3"/>
        <v>-1561270.76</v>
      </c>
      <c r="F16" s="9">
        <f t="shared" si="3"/>
        <v>-1483897.99</v>
      </c>
      <c r="G16" s="9">
        <f t="shared" si="3"/>
        <v>-2142970.1298885616</v>
      </c>
      <c r="H16" s="9">
        <f t="shared" si="3"/>
        <v>-4976777.0430654585</v>
      </c>
      <c r="I16" s="9">
        <f t="shared" si="3"/>
        <v>-24709300.78039147</v>
      </c>
      <c r="J16" s="9">
        <f t="shared" si="3"/>
        <v>-81725171.091687441</v>
      </c>
      <c r="K16" s="9">
        <f t="shared" si="3"/>
        <v>-158497355.50570184</v>
      </c>
    </row>
    <row r="17" spans="1:11" ht="10.5" customHeight="1" x14ac:dyDescent="0.65">
      <c r="B17" s="6" t="s">
        <v>108</v>
      </c>
      <c r="C17" s="7">
        <f>SUMIF('CFS-Q'!$C$4:$AL$4,C$5,'CFS-Q'!$C17:$AL17)</f>
        <v>-39928.050000000003</v>
      </c>
      <c r="D17" s="7">
        <f>SUMIF('CFS-Q'!$C$4:$AL$4,D$5,'CFS-Q'!$C17:$AL17)</f>
        <v>-28000</v>
      </c>
      <c r="E17" s="7">
        <f>SUMIF('CFS-Q'!$C$4:$AL$4,E$5,'CFS-Q'!$C17:$AL17)</f>
        <v>-5.75</v>
      </c>
      <c r="F17" s="7">
        <f>SUMIF('CFS-Q'!$C$4:$AL$4,F$5,'CFS-Q'!$C17:$AL17)</f>
        <v>13892.53</v>
      </c>
      <c r="G17" s="7">
        <f>SUMIF('CFS-Q'!$C$4:$AL$4,G$5,'CFS-Q'!$C17:$AL17)</f>
        <v>0</v>
      </c>
      <c r="H17" s="7">
        <f>SUMIF('CFS-Q'!$C$4:$AL$4,H$5,'CFS-Q'!$C17:$AL17)</f>
        <v>0</v>
      </c>
      <c r="I17" s="7">
        <f>SUMIF('CFS-Q'!$C$4:$AL$4,I$5,'CFS-Q'!$C17:$AL17)</f>
        <v>0</v>
      </c>
      <c r="J17" s="7">
        <f>SUMIF('CFS-Q'!$C$4:$AL$4,J$5,'CFS-Q'!$C17:$AL17)</f>
        <v>0</v>
      </c>
      <c r="K17" s="7">
        <f>SUMIF('CFS-Q'!$C$4:$AL$4,K$5,'CFS-Q'!$C17:$AL17)</f>
        <v>0</v>
      </c>
    </row>
    <row r="18" spans="1:11" ht="10.5" customHeight="1" x14ac:dyDescent="0.65">
      <c r="A18" s="8" t="s">
        <v>107</v>
      </c>
      <c r="C18" s="9">
        <f t="shared" ref="C18:K18" si="4">(C17 + (C11 + C16))</f>
        <v>-369835.29</v>
      </c>
      <c r="D18" s="9">
        <f t="shared" si="4"/>
        <v>-539051.95000000007</v>
      </c>
      <c r="E18" s="9">
        <f t="shared" si="4"/>
        <v>-730772.54</v>
      </c>
      <c r="F18" s="9">
        <f t="shared" si="4"/>
        <v>-820329.3</v>
      </c>
      <c r="G18" s="9">
        <f t="shared" si="4"/>
        <v>-708665.64753809758</v>
      </c>
      <c r="H18" s="9">
        <f t="shared" si="4"/>
        <v>-647332.70454110205</v>
      </c>
      <c r="I18" s="9">
        <f t="shared" si="4"/>
        <v>-22668.59722366184</v>
      </c>
      <c r="J18" s="9">
        <f t="shared" si="4"/>
        <v>9986564.6410005093</v>
      </c>
      <c r="K18" s="9">
        <f t="shared" si="4"/>
        <v>22564657.118622482</v>
      </c>
    </row>
    <row r="19" spans="1:11" ht="13.4" customHeight="1" x14ac:dyDescent="0.65"/>
    <row r="20" spans="1:11" ht="13" customHeight="1" x14ac:dyDescent="0.65">
      <c r="A20" s="48" t="s">
        <v>106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1" ht="10.5" customHeight="1" x14ac:dyDescent="0.65">
      <c r="B21" s="4" t="s">
        <v>105</v>
      </c>
      <c r="C21" s="7">
        <f>SUMIF('CFS-Q'!$C$4:$AL$4,C$5,'CFS-Q'!$C21:$AL21)</f>
        <v>0</v>
      </c>
      <c r="D21" s="7">
        <f>SUMIF('CFS-Q'!$C$4:$AL$4,D$5,'CFS-Q'!$C21:$AL21)</f>
        <v>162.91</v>
      </c>
      <c r="E21" s="7">
        <f>SUMIF('CFS-Q'!$C$4:$AL$4,E$5,'CFS-Q'!$C21:$AL21)</f>
        <v>11329.29</v>
      </c>
      <c r="F21" s="7">
        <f>SUMIF('CFS-Q'!$C$4:$AL$4,F$5,'CFS-Q'!$C21:$AL21)</f>
        <v>44.46</v>
      </c>
      <c r="G21" s="7">
        <f>SUMIF('CFS-Q'!$C$4:$AL$4,G$5,'CFS-Q'!$C21:$AL21)</f>
        <v>0</v>
      </c>
      <c r="H21" s="7">
        <f>SUMIF('CFS-Q'!$C$4:$AL$4,H$5,'CFS-Q'!$C21:$AL21)</f>
        <v>0</v>
      </c>
      <c r="I21" s="7">
        <f>SUMIF('CFS-Q'!$C$4:$AL$4,I$5,'CFS-Q'!$C21:$AL21)</f>
        <v>0</v>
      </c>
      <c r="J21" s="7">
        <f>SUMIF('CFS-Q'!$C$4:$AL$4,J$5,'CFS-Q'!$C21:$AL21)</f>
        <v>0</v>
      </c>
      <c r="K21" s="7">
        <f>SUMIF('CFS-Q'!$C$4:$AL$4,K$5,'CFS-Q'!$C21:$AL21)</f>
        <v>0</v>
      </c>
    </row>
    <row r="22" spans="1:11" ht="10.5" customHeight="1" x14ac:dyDescent="0.65">
      <c r="B22" s="6" t="s">
        <v>104</v>
      </c>
      <c r="C22" s="7">
        <f>SUMIF('CFS-Q'!$C$4:$AL$4,C$5,'CFS-Q'!$C22:$AL22)</f>
        <v>-6873.21</v>
      </c>
      <c r="D22" s="7">
        <f>SUMIF('CFS-Q'!$C$4:$AL$4,D$5,'CFS-Q'!$C22:$AL22)</f>
        <v>-2748.24</v>
      </c>
      <c r="E22" s="7">
        <f>SUMIF('CFS-Q'!$C$4:$AL$4,E$5,'CFS-Q'!$C22:$AL22)</f>
        <v>-2048.21</v>
      </c>
      <c r="F22" s="7">
        <f>SUMIF('CFS-Q'!$C$4:$AL$4,F$5,'CFS-Q'!$C22:$AL22)</f>
        <v>-9.99</v>
      </c>
      <c r="G22" s="7">
        <f>SUMIF('CFS-Q'!$C$4:$AL$4,G$5,'CFS-Q'!$C22:$AL22)</f>
        <v>0</v>
      </c>
      <c r="H22" s="7">
        <f>SUMIF('CFS-Q'!$C$4:$AL$4,H$5,'CFS-Q'!$C22:$AL22)</f>
        <v>0</v>
      </c>
      <c r="I22" s="7">
        <f>SUMIF('CFS-Q'!$C$4:$AL$4,I$5,'CFS-Q'!$C22:$AL22)</f>
        <v>0</v>
      </c>
      <c r="J22" s="7">
        <f>SUMIF('CFS-Q'!$C$4:$AL$4,J$5,'CFS-Q'!$C22:$AL22)</f>
        <v>0</v>
      </c>
      <c r="K22" s="7">
        <f>SUMIF('CFS-Q'!$C$4:$AL$4,K$5,'CFS-Q'!$C22:$AL22)</f>
        <v>0</v>
      </c>
    </row>
    <row r="23" spans="1:11" ht="10.5" customHeight="1" x14ac:dyDescent="0.65">
      <c r="A23" s="12"/>
      <c r="B23" s="12" t="s">
        <v>103</v>
      </c>
      <c r="C23" s="12"/>
      <c r="D23" s="12"/>
      <c r="E23" s="12"/>
      <c r="F23" s="12"/>
      <c r="G23" s="12"/>
      <c r="H23" s="12"/>
      <c r="I23" s="12"/>
      <c r="J23" s="12"/>
      <c r="K23" s="12"/>
    </row>
    <row r="24" spans="1:11" ht="10.5" customHeight="1" x14ac:dyDescent="0.65">
      <c r="B24" s="6" t="s">
        <v>67</v>
      </c>
      <c r="C24" s="7">
        <f>SUMIF('CFS-Q'!$C$4:$AL$4,C$5,'CFS-Q'!$C24:$AL24)</f>
        <v>0</v>
      </c>
      <c r="D24" s="7">
        <f>SUMIF('CFS-Q'!$C$4:$AL$4,D$5,'CFS-Q'!$C24:$AL24)</f>
        <v>0</v>
      </c>
      <c r="E24" s="7">
        <f>SUMIF('CFS-Q'!$C$4:$AL$4,E$5,'CFS-Q'!$C24:$AL24)</f>
        <v>0</v>
      </c>
      <c r="F24" s="7">
        <f>SUMIF('CFS-Q'!$C$4:$AL$4,F$5,'CFS-Q'!$C24:$AL24)</f>
        <v>-8029.17</v>
      </c>
      <c r="G24" s="7">
        <f>SUMIF('CFS-Q'!$C$4:$AL$4,G$5,'CFS-Q'!$C24:$AL24)</f>
        <v>0</v>
      </c>
      <c r="H24" s="7">
        <f>SUMIF('CFS-Q'!$C$4:$AL$4,H$5,'CFS-Q'!$C24:$AL24)</f>
        <v>0</v>
      </c>
      <c r="I24" s="7">
        <f>SUMIF('CFS-Q'!$C$4:$AL$4,I$5,'CFS-Q'!$C24:$AL24)</f>
        <v>0</v>
      </c>
      <c r="J24" s="7">
        <f>SUMIF('CFS-Q'!$C$4:$AL$4,J$5,'CFS-Q'!$C24:$AL24)</f>
        <v>0</v>
      </c>
      <c r="K24" s="7">
        <f>SUMIF('CFS-Q'!$C$4:$AL$4,K$5,'CFS-Q'!$C24:$AL24)</f>
        <v>0</v>
      </c>
    </row>
    <row r="25" spans="1:11" ht="10.5" customHeight="1" x14ac:dyDescent="0.65">
      <c r="B25" s="8" t="s">
        <v>102</v>
      </c>
      <c r="C25" s="9">
        <f t="shared" ref="C25:K25" si="5">C24</f>
        <v>0</v>
      </c>
      <c r="D25" s="9">
        <f t="shared" si="5"/>
        <v>0</v>
      </c>
      <c r="E25" s="9">
        <f t="shared" si="5"/>
        <v>0</v>
      </c>
      <c r="F25" s="9">
        <f t="shared" si="5"/>
        <v>-8029.17</v>
      </c>
      <c r="G25" s="9">
        <f t="shared" si="5"/>
        <v>0</v>
      </c>
      <c r="H25" s="9">
        <f t="shared" si="5"/>
        <v>0</v>
      </c>
      <c r="I25" s="9">
        <f t="shared" si="5"/>
        <v>0</v>
      </c>
      <c r="J25" s="9">
        <f t="shared" si="5"/>
        <v>0</v>
      </c>
      <c r="K25" s="9">
        <f t="shared" si="5"/>
        <v>0</v>
      </c>
    </row>
    <row r="26" spans="1:11" ht="10.5" customHeight="1" x14ac:dyDescent="0.65">
      <c r="A26" s="8" t="s">
        <v>101</v>
      </c>
      <c r="C26" s="9">
        <f t="shared" ref="C26:K26" si="6">(SUM(C21:C22) + C25)</f>
        <v>-6873.21</v>
      </c>
      <c r="D26" s="9">
        <f t="shared" si="6"/>
        <v>-2585.33</v>
      </c>
      <c r="E26" s="9">
        <f t="shared" si="6"/>
        <v>9281.0800000000017</v>
      </c>
      <c r="F26" s="9">
        <f t="shared" si="6"/>
        <v>-7994.7</v>
      </c>
      <c r="G26" s="9">
        <f t="shared" si="6"/>
        <v>0</v>
      </c>
      <c r="H26" s="9">
        <f t="shared" si="6"/>
        <v>0</v>
      </c>
      <c r="I26" s="9">
        <f t="shared" si="6"/>
        <v>0</v>
      </c>
      <c r="J26" s="9">
        <f t="shared" si="6"/>
        <v>0</v>
      </c>
      <c r="K26" s="9">
        <f t="shared" si="6"/>
        <v>0</v>
      </c>
    </row>
    <row r="27" spans="1:11" ht="13.4" customHeight="1" x14ac:dyDescent="0.65"/>
    <row r="28" spans="1:11" ht="13" customHeight="1" x14ac:dyDescent="0.65">
      <c r="A28" s="48" t="s">
        <v>100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</row>
    <row r="29" spans="1:11" ht="10.5" customHeight="1" x14ac:dyDescent="0.65">
      <c r="B29" s="4" t="s">
        <v>99</v>
      </c>
      <c r="C29" s="7">
        <f>SUMIF('CFS-Q'!$C$4:$AL$4,C$5,'CFS-Q'!$C29:$AL29)</f>
        <v>0</v>
      </c>
      <c r="D29" s="7">
        <f>SUMIF('CFS-Q'!$C$4:$AL$4,D$5,'CFS-Q'!$C29:$AL29)</f>
        <v>35000</v>
      </c>
      <c r="E29" s="7">
        <f>SUMIF('CFS-Q'!$C$4:$AL$4,E$5,'CFS-Q'!$C29:$AL29)</f>
        <v>-4570.75</v>
      </c>
      <c r="F29" s="7">
        <f>SUMIF('CFS-Q'!$C$4:$AL$4,F$5,'CFS-Q'!$C29:$AL29)</f>
        <v>-6512.58</v>
      </c>
      <c r="G29" s="7">
        <f>SUMIF('CFS-Q'!$C$4:$AL$4,G$5,'CFS-Q'!$C29:$AL29)</f>
        <v>0</v>
      </c>
      <c r="H29" s="7">
        <f>SUMIF('CFS-Q'!$C$4:$AL$4,H$5,'CFS-Q'!$C29:$AL29)</f>
        <v>0</v>
      </c>
      <c r="I29" s="7">
        <f>SUMIF('CFS-Q'!$C$4:$AL$4,I$5,'CFS-Q'!$C29:$AL29)</f>
        <v>0</v>
      </c>
      <c r="J29" s="7">
        <f>SUMIF('CFS-Q'!$C$4:$AL$4,J$5,'CFS-Q'!$C29:$AL29)</f>
        <v>0</v>
      </c>
      <c r="K29" s="7">
        <f>SUMIF('CFS-Q'!$C$4:$AL$4,K$5,'CFS-Q'!$C29:$AL29)</f>
        <v>0</v>
      </c>
    </row>
    <row r="30" spans="1:11" ht="10.5" customHeight="1" x14ac:dyDescent="0.65">
      <c r="A30" s="12"/>
      <c r="B30" s="12" t="s">
        <v>98</v>
      </c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10.5" customHeight="1" x14ac:dyDescent="0.65">
      <c r="B31" s="6" t="s">
        <v>50</v>
      </c>
      <c r="C31" s="7">
        <f>SUMIF('CFS-Q'!$C$4:$AL$4,C$5,'CFS-Q'!$C31:$AL31)</f>
        <v>0</v>
      </c>
      <c r="D31" s="7">
        <f>SUMIF('CFS-Q'!$C$4:$AL$4,D$5,'CFS-Q'!$C31:$AL31)</f>
        <v>0</v>
      </c>
      <c r="E31" s="7">
        <f>SUMIF('CFS-Q'!$C$4:$AL$4,E$5,'CFS-Q'!$C31:$AL31)</f>
        <v>0</v>
      </c>
      <c r="F31" s="7">
        <f>SUMIF('CFS-Q'!$C$4:$AL$4,F$5,'CFS-Q'!$C31:$AL31)</f>
        <v>0</v>
      </c>
      <c r="G31" s="7">
        <f>SUMIF('CFS-Q'!$C$4:$AL$4,G$5,'CFS-Q'!$C31:$AL31)</f>
        <v>0</v>
      </c>
      <c r="H31" s="7">
        <f>SUMIF('CFS-Q'!$C$4:$AL$4,H$5,'CFS-Q'!$C31:$AL31)</f>
        <v>0</v>
      </c>
      <c r="I31" s="7">
        <f>SUMIF('CFS-Q'!$C$4:$AL$4,I$5,'CFS-Q'!$C31:$AL31)</f>
        <v>0</v>
      </c>
      <c r="J31" s="7">
        <f>SUMIF('CFS-Q'!$C$4:$AL$4,J$5,'CFS-Q'!$C31:$AL31)</f>
        <v>0</v>
      </c>
      <c r="K31" s="7">
        <f>SUMIF('CFS-Q'!$C$4:$AL$4,K$5,'CFS-Q'!$C31:$AL31)</f>
        <v>0</v>
      </c>
    </row>
    <row r="32" spans="1:11" ht="10.5" customHeight="1" x14ac:dyDescent="0.65">
      <c r="B32" s="6" t="s">
        <v>44</v>
      </c>
      <c r="C32" s="7">
        <f>SUMIF('CFS-Q'!$C$4:$AL$4,C$5,'CFS-Q'!$C32:$AL32)</f>
        <v>493995.73</v>
      </c>
      <c r="D32" s="7">
        <f>SUMIF('CFS-Q'!$C$4:$AL$4,D$5,'CFS-Q'!$C32:$AL32)</f>
        <v>594600</v>
      </c>
      <c r="E32" s="7">
        <f>SUMIF('CFS-Q'!$C$4:$AL$4,E$5,'CFS-Q'!$C32:$AL32)</f>
        <v>742316.48</v>
      </c>
      <c r="F32" s="7">
        <f>SUMIF('CFS-Q'!$C$4:$AL$4,F$5,'CFS-Q'!$C32:$AL32)</f>
        <v>1011460.93</v>
      </c>
      <c r="G32" s="7">
        <f>SUMIF('CFS-Q'!$C$4:$AL$4,G$5,'CFS-Q'!$C32:$AL32)</f>
        <v>3000000</v>
      </c>
      <c r="H32" s="7">
        <f>SUMIF('CFS-Q'!$C$4:$AL$4,H$5,'CFS-Q'!$C32:$AL32)</f>
        <v>0</v>
      </c>
      <c r="I32" s="7">
        <f>SUMIF('CFS-Q'!$C$4:$AL$4,I$5,'CFS-Q'!$C32:$AL32)</f>
        <v>0</v>
      </c>
      <c r="J32" s="7">
        <f>SUMIF('CFS-Q'!$C$4:$AL$4,J$5,'CFS-Q'!$C32:$AL32)</f>
        <v>0</v>
      </c>
      <c r="K32" s="7">
        <f>SUMIF('CFS-Q'!$C$4:$AL$4,K$5,'CFS-Q'!$C32:$AL32)</f>
        <v>0</v>
      </c>
    </row>
    <row r="33" spans="1:11" ht="10.5" customHeight="1" x14ac:dyDescent="0.65">
      <c r="B33" s="8" t="s">
        <v>97</v>
      </c>
      <c r="C33" s="9">
        <f t="shared" ref="C33:K33" si="7">SUM(C31:C32)</f>
        <v>493995.73</v>
      </c>
      <c r="D33" s="9">
        <f t="shared" si="7"/>
        <v>594600</v>
      </c>
      <c r="E33" s="9">
        <f t="shared" si="7"/>
        <v>742316.48</v>
      </c>
      <c r="F33" s="9">
        <f t="shared" si="7"/>
        <v>1011460.93</v>
      </c>
      <c r="G33" s="9">
        <f t="shared" si="7"/>
        <v>3000000</v>
      </c>
      <c r="H33" s="9">
        <f t="shared" si="7"/>
        <v>0</v>
      </c>
      <c r="I33" s="9">
        <f t="shared" si="7"/>
        <v>0</v>
      </c>
      <c r="J33" s="9">
        <f t="shared" si="7"/>
        <v>0</v>
      </c>
      <c r="K33" s="9">
        <f t="shared" si="7"/>
        <v>0</v>
      </c>
    </row>
    <row r="34" spans="1:11" ht="10.5" customHeight="1" x14ac:dyDescent="0.65">
      <c r="A34" s="8" t="s">
        <v>96</v>
      </c>
      <c r="C34" s="9">
        <f t="shared" ref="C34:K34" si="8">(C29 + C33)</f>
        <v>493995.73</v>
      </c>
      <c r="D34" s="9">
        <f t="shared" si="8"/>
        <v>629600</v>
      </c>
      <c r="E34" s="9">
        <f t="shared" si="8"/>
        <v>737745.73</v>
      </c>
      <c r="F34" s="9">
        <f t="shared" si="8"/>
        <v>1004948.3500000001</v>
      </c>
      <c r="G34" s="9">
        <f t="shared" si="8"/>
        <v>3000000</v>
      </c>
      <c r="H34" s="9">
        <f t="shared" si="8"/>
        <v>0</v>
      </c>
      <c r="I34" s="9">
        <f t="shared" si="8"/>
        <v>0</v>
      </c>
      <c r="J34" s="9">
        <f t="shared" si="8"/>
        <v>0</v>
      </c>
      <c r="K34" s="9">
        <f t="shared" si="8"/>
        <v>0</v>
      </c>
    </row>
    <row r="35" spans="1:11" ht="13.4" customHeight="1" x14ac:dyDescent="0.65"/>
    <row r="36" spans="1:11" ht="10.5" customHeight="1" x14ac:dyDescent="0.65">
      <c r="B36" s="10" t="s">
        <v>95</v>
      </c>
      <c r="C36" s="11">
        <f t="shared" ref="C36:K36" si="9">((C18 + C26) + C34)</f>
        <v>117287.22999999998</v>
      </c>
      <c r="D36" s="11">
        <f t="shared" si="9"/>
        <v>87962.719999999972</v>
      </c>
      <c r="E36" s="11">
        <f t="shared" si="9"/>
        <v>16254.269999999902</v>
      </c>
      <c r="F36" s="11">
        <f t="shared" si="9"/>
        <v>176624.35000000009</v>
      </c>
      <c r="G36" s="11">
        <f t="shared" si="9"/>
        <v>2291334.3524619024</v>
      </c>
      <c r="H36" s="11">
        <f t="shared" si="9"/>
        <v>-647332.70454110205</v>
      </c>
      <c r="I36" s="11">
        <f t="shared" si="9"/>
        <v>-22668.59722366184</v>
      </c>
      <c r="J36" s="11">
        <f t="shared" si="9"/>
        <v>9986564.6410005093</v>
      </c>
      <c r="K36" s="11">
        <f t="shared" si="9"/>
        <v>22564657.118622482</v>
      </c>
    </row>
    <row r="37" spans="1:11" ht="13.4" customHeight="1" x14ac:dyDescent="0.65"/>
    <row r="38" spans="1:11" ht="13" customHeight="1" x14ac:dyDescent="0.65">
      <c r="A38" s="48" t="s">
        <v>94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1" ht="10.5" customHeight="1" x14ac:dyDescent="0.65">
      <c r="B39" s="4" t="s">
        <v>93</v>
      </c>
      <c r="C39" s="5">
        <f>SUMIF('CFS-Q'!$C$3:$AL$3,'CFS-A'!C$4,'CFS-Q'!$C39:$AL39)</f>
        <v>248308.1</v>
      </c>
      <c r="D39" s="5">
        <f>SUMIF('CFS-Q'!$C$3:$AL$3,'CFS-A'!D$4,'CFS-Q'!$C39:$AL39)</f>
        <v>391020.39</v>
      </c>
      <c r="E39" s="5">
        <f>SUMIF('CFS-Q'!$C$3:$AL$3,'CFS-A'!E$4,'CFS-Q'!$C39:$AL39)</f>
        <v>470329.81</v>
      </c>
      <c r="F39" s="5">
        <f>SUMIF('CFS-Q'!$C$3:$AL$3,'CFS-A'!F$4,'CFS-Q'!$C39:$AL39)</f>
        <v>557125.11</v>
      </c>
      <c r="G39" s="5">
        <f>SUMIF('CFS-Q'!$C$3:$AL$3,'CFS-A'!G$4,'CFS-Q'!$C39:$AL39)</f>
        <v>2864015.7674541506</v>
      </c>
      <c r="H39" s="5">
        <f>SUMIF('CFS-Q'!$C$3:$AL$3,'CFS-A'!H$4,'CFS-Q'!$C39:$AL39)</f>
        <v>2383615.2456514034</v>
      </c>
      <c r="I39" s="5">
        <f>SUMIF('CFS-Q'!$C$3:$AL$3,'CFS-A'!I$4,'CFS-Q'!$C39:$AL39)</f>
        <v>1246487.4725307741</v>
      </c>
      <c r="J39" s="5">
        <f>SUMIF('CFS-Q'!$C$3:$AL$3,'CFS-A'!J$4,'CFS-Q'!$C39:$AL39)</f>
        <v>8405750.1368707344</v>
      </c>
      <c r="K39" s="5">
        <f>SUMIF('CFS-Q'!$C$3:$AL$3,'CFS-A'!K$4,'CFS-Q'!$C39:$AL39)</f>
        <v>27563155.530646633</v>
      </c>
    </row>
    <row r="40" spans="1:11" ht="10.5" customHeight="1" x14ac:dyDescent="0.65">
      <c r="B40" s="6" t="s">
        <v>92</v>
      </c>
      <c r="C40" s="5">
        <f>SUMIF('CFS-Q'!$C$3:$AL$3,'CFS-A'!C$4,'CFS-Q'!$C40:$AL40)</f>
        <v>117287.23</v>
      </c>
      <c r="D40" s="5">
        <f>SUMIF('CFS-Q'!$C$3:$AL$3,'CFS-A'!D$4,'CFS-Q'!$C40:$AL40)</f>
        <v>205249.95</v>
      </c>
      <c r="E40" s="5">
        <f>SUMIF('CFS-Q'!$C$3:$AL$3,'CFS-A'!E$4,'CFS-Q'!$C40:$AL40)</f>
        <v>221504.22</v>
      </c>
      <c r="F40" s="5">
        <f>SUMIF('CFS-Q'!$C$3:$AL$3,'CFS-A'!F$4,'CFS-Q'!$C40:$AL40)</f>
        <v>398128.57</v>
      </c>
      <c r="G40" s="5">
        <f>SUMIF('CFS-Q'!$C$3:$AL$3,'CFS-A'!G$4,'CFS-Q'!$C40:$AL40)</f>
        <v>2689462.9224619023</v>
      </c>
      <c r="H40" s="5">
        <f>SUMIF('CFS-Q'!$C$3:$AL$3,'CFS-A'!H$4,'CFS-Q'!$C40:$AL40)</f>
        <v>2042130.2179208</v>
      </c>
      <c r="I40" s="5">
        <f>SUMIF('CFS-Q'!$C$3:$AL$3,'CFS-A'!I$4,'CFS-Q'!$C40:$AL40)</f>
        <v>2019461.6206971363</v>
      </c>
      <c r="J40" s="5">
        <f>SUMIF('CFS-Q'!$C$3:$AL$3,'CFS-A'!J$4,'CFS-Q'!$C40:$AL40)</f>
        <v>12006026.261697635</v>
      </c>
      <c r="K40" s="5">
        <f>SUMIF('CFS-Q'!$C$3:$AL$3,'CFS-A'!K$4,'CFS-Q'!$C40:$AL40)</f>
        <v>34570683.380320117</v>
      </c>
    </row>
    <row r="41" spans="1:11" ht="10.5" customHeight="1" x14ac:dyDescent="0.65">
      <c r="A41" s="8" t="s">
        <v>91</v>
      </c>
      <c r="C41" s="9">
        <f>SUMIF('CFS-Q'!$C$4:$AL$4,C$5,'CFS-Q'!$C41:$AL41)</f>
        <v>117287.23000000001</v>
      </c>
      <c r="D41" s="9">
        <f>SUMIF('CFS-Q'!$C$4:$AL$4,D$5,'CFS-Q'!$C41:$AL41)</f>
        <v>87962.719999999972</v>
      </c>
      <c r="E41" s="9">
        <f>SUMIF('CFS-Q'!$C$4:$AL$4,E$5,'CFS-Q'!$C41:$AL41)</f>
        <v>16254.26999999999</v>
      </c>
      <c r="F41" s="9">
        <f>SUMIF('CFS-Q'!$C$4:$AL$4,F$5,'CFS-Q'!$C41:$AL41)</f>
        <v>176624.35</v>
      </c>
      <c r="G41" s="9">
        <f>SUMIF('CFS-Q'!$C$4:$AL$4,G$5,'CFS-Q'!$C41:$AL41)</f>
        <v>2291334.352461902</v>
      </c>
      <c r="H41" s="9">
        <f>SUMIF('CFS-Q'!$C$4:$AL$4,H$5,'CFS-Q'!$C41:$AL41)</f>
        <v>-647332.70454110228</v>
      </c>
      <c r="I41" s="9">
        <f>SUMIF('CFS-Q'!$C$4:$AL$4,I$5,'CFS-Q'!$C41:$AL41)</f>
        <v>-22668.597223663703</v>
      </c>
      <c r="J41" s="9">
        <f>SUMIF('CFS-Q'!$C$4:$AL$4,J$5,'CFS-Q'!$C41:$AL41)</f>
        <v>9986564.6410004999</v>
      </c>
      <c r="K41" s="9">
        <f>SUMIF('CFS-Q'!$C$4:$AL$4,K$5,'CFS-Q'!$C41:$AL41)</f>
        <v>22564657.118622478</v>
      </c>
    </row>
  </sheetData>
  <pageMargins left="0.7" right="0.7" top="0.75" bottom="0.75" header="0.3" footer="0.3"/>
  <pageSetup paperSize="9" scale="91" fitToWidth="0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50CD8-C907-4481-A7DE-199124B094B0}">
  <sheetPr>
    <tabColor theme="9" tint="0.79998168889431442"/>
  </sheetPr>
  <dimension ref="A1"/>
  <sheetViews>
    <sheetView workbookViewId="0">
      <selection activeCell="A21" sqref="A21:Q21"/>
    </sheetView>
  </sheetViews>
  <sheetFormatPr defaultRowHeight="14.25" x14ac:dyDescent="0.6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L55"/>
  <sheetViews>
    <sheetView showGridLines="0" topLeftCell="A2" zoomScale="85" zoomScaleNormal="85" workbookViewId="0">
      <pane xSplit="2" ySplit="4" topLeftCell="C6" activePane="bottomRight" state="frozen"/>
      <selection activeCell="A21" sqref="A21:Q21"/>
      <selection pane="topRight" activeCell="A21" sqref="A21:Q21"/>
      <selection pane="bottomLeft" activeCell="A21" sqref="A21:Q21"/>
      <selection pane="bottomRight" activeCell="A2" sqref="A2:R2"/>
    </sheetView>
  </sheetViews>
  <sheetFormatPr defaultRowHeight="14.25" x14ac:dyDescent="0.65"/>
  <cols>
    <col min="1" max="1" width="1" customWidth="1"/>
    <col min="2" max="2" width="31.58203125" customWidth="1"/>
    <col min="3" max="4" width="10.58203125" customWidth="1"/>
    <col min="5" max="5" width="10.33203125" customWidth="1"/>
    <col min="6" max="6" width="10.4140625" customWidth="1"/>
    <col min="7" max="8" width="10.58203125" customWidth="1"/>
    <col min="9" max="9" width="10.33203125" customWidth="1"/>
    <col min="10" max="10" width="10.4140625" customWidth="1"/>
    <col min="11" max="12" width="10.58203125" customWidth="1"/>
    <col min="13" max="13" width="10.33203125" customWidth="1"/>
    <col min="14" max="14" width="10.4140625" customWidth="1"/>
    <col min="15" max="16" width="10.58203125" customWidth="1"/>
    <col min="17" max="17" width="10.33203125" customWidth="1"/>
    <col min="18" max="18" width="10.4140625" customWidth="1"/>
  </cols>
  <sheetData>
    <row r="1" spans="1:38" ht="25.5" customHeight="1" x14ac:dyDescent="0.6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38" ht="18" customHeight="1" x14ac:dyDescent="0.65">
      <c r="A2" s="88" t="s">
        <v>203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38" ht="18" customHeight="1" x14ac:dyDescent="0.6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38" ht="13.4" customHeight="1" x14ac:dyDescent="0.65">
      <c r="C4" s="40">
        <v>2019</v>
      </c>
      <c r="D4" s="40">
        <v>2019</v>
      </c>
      <c r="E4" s="40">
        <v>2019</v>
      </c>
      <c r="F4" s="40">
        <v>2019</v>
      </c>
      <c r="G4" s="40">
        <f>C4+1</f>
        <v>2020</v>
      </c>
      <c r="H4" s="40">
        <f t="shared" ref="H4:S4" si="0">D4+1</f>
        <v>2020</v>
      </c>
      <c r="I4" s="40">
        <f t="shared" si="0"/>
        <v>2020</v>
      </c>
      <c r="J4" s="40">
        <f t="shared" si="0"/>
        <v>2020</v>
      </c>
      <c r="K4" s="40">
        <f t="shared" si="0"/>
        <v>2021</v>
      </c>
      <c r="L4" s="40">
        <f t="shared" si="0"/>
        <v>2021</v>
      </c>
      <c r="M4" s="40">
        <f t="shared" si="0"/>
        <v>2021</v>
      </c>
      <c r="N4" s="40">
        <f t="shared" si="0"/>
        <v>2021</v>
      </c>
      <c r="O4" s="40">
        <f t="shared" si="0"/>
        <v>2022</v>
      </c>
      <c r="P4" s="40">
        <f t="shared" si="0"/>
        <v>2022</v>
      </c>
      <c r="Q4" s="40">
        <f t="shared" si="0"/>
        <v>2022</v>
      </c>
      <c r="R4" s="40">
        <f t="shared" si="0"/>
        <v>2022</v>
      </c>
      <c r="S4" s="40">
        <f t="shared" si="0"/>
        <v>2023</v>
      </c>
      <c r="T4" s="40">
        <f t="shared" ref="T4" si="1">P4+1</f>
        <v>2023</v>
      </c>
      <c r="U4" s="40">
        <f t="shared" ref="U4" si="2">Q4+1</f>
        <v>2023</v>
      </c>
      <c r="V4" s="40">
        <f t="shared" ref="V4" si="3">R4+1</f>
        <v>2023</v>
      </c>
      <c r="W4" s="40">
        <f t="shared" ref="W4" si="4">S4+1</f>
        <v>2024</v>
      </c>
      <c r="X4" s="40">
        <f t="shared" ref="X4" si="5">T4+1</f>
        <v>2024</v>
      </c>
      <c r="Y4" s="40">
        <f t="shared" ref="Y4" si="6">U4+1</f>
        <v>2024</v>
      </c>
      <c r="Z4" s="40">
        <f t="shared" ref="Z4" si="7">V4+1</f>
        <v>2024</v>
      </c>
      <c r="AA4" s="40">
        <f t="shared" ref="AA4" si="8">W4+1</f>
        <v>2025</v>
      </c>
      <c r="AB4" s="40">
        <f t="shared" ref="AB4" si="9">X4+1</f>
        <v>2025</v>
      </c>
      <c r="AC4" s="40">
        <f t="shared" ref="AC4" si="10">Y4+1</f>
        <v>2025</v>
      </c>
      <c r="AD4" s="40">
        <f t="shared" ref="AD4" si="11">Z4+1</f>
        <v>2025</v>
      </c>
      <c r="AE4" s="40">
        <f t="shared" ref="AE4" si="12">AA4+1</f>
        <v>2026</v>
      </c>
      <c r="AF4" s="40">
        <f t="shared" ref="AF4" si="13">AB4+1</f>
        <v>2026</v>
      </c>
      <c r="AG4" s="40">
        <f t="shared" ref="AG4" si="14">AC4+1</f>
        <v>2026</v>
      </c>
      <c r="AH4" s="40">
        <f t="shared" ref="AH4" si="15">AD4+1</f>
        <v>2026</v>
      </c>
      <c r="AI4" s="40">
        <f t="shared" ref="AI4" si="16">AE4+1</f>
        <v>2027</v>
      </c>
      <c r="AJ4" s="40">
        <f t="shared" ref="AJ4" si="17">AF4+1</f>
        <v>2027</v>
      </c>
      <c r="AK4" s="40">
        <f t="shared" ref="AK4:AL4" si="18">AG4+1</f>
        <v>2027</v>
      </c>
      <c r="AL4" s="40">
        <f t="shared" si="18"/>
        <v>2027</v>
      </c>
    </row>
    <row r="5" spans="1:38" ht="10.5" customHeight="1" x14ac:dyDescent="0.65">
      <c r="A5" s="1"/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4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3">
        <v>1</v>
      </c>
      <c r="T5" s="3">
        <f>S5+1</f>
        <v>2</v>
      </c>
      <c r="U5" s="3">
        <f t="shared" ref="U5:V5" si="19">T5+1</f>
        <v>3</v>
      </c>
      <c r="V5" s="3">
        <f t="shared" si="19"/>
        <v>4</v>
      </c>
      <c r="W5" s="3">
        <f>S5</f>
        <v>1</v>
      </c>
      <c r="X5" s="3">
        <f t="shared" ref="X5:AL5" si="20">T5</f>
        <v>2</v>
      </c>
      <c r="Y5" s="3">
        <f t="shared" si="20"/>
        <v>3</v>
      </c>
      <c r="Z5" s="3">
        <f t="shared" si="20"/>
        <v>4</v>
      </c>
      <c r="AA5" s="3">
        <f t="shared" si="20"/>
        <v>1</v>
      </c>
      <c r="AB5" s="3">
        <f t="shared" si="20"/>
        <v>2</v>
      </c>
      <c r="AC5" s="3">
        <f t="shared" si="20"/>
        <v>3</v>
      </c>
      <c r="AD5" s="3">
        <f t="shared" si="20"/>
        <v>4</v>
      </c>
      <c r="AE5" s="3">
        <f t="shared" si="20"/>
        <v>1</v>
      </c>
      <c r="AF5" s="3">
        <f t="shared" si="20"/>
        <v>2</v>
      </c>
      <c r="AG5" s="3">
        <f t="shared" si="20"/>
        <v>3</v>
      </c>
      <c r="AH5" s="3">
        <f t="shared" si="20"/>
        <v>4</v>
      </c>
      <c r="AI5" s="3">
        <f t="shared" si="20"/>
        <v>1</v>
      </c>
      <c r="AJ5" s="3">
        <f t="shared" si="20"/>
        <v>2</v>
      </c>
      <c r="AK5" s="3">
        <f t="shared" si="20"/>
        <v>3</v>
      </c>
      <c r="AL5" s="3">
        <f t="shared" si="20"/>
        <v>4</v>
      </c>
    </row>
    <row r="6" spans="1:38" ht="13.4" customHeight="1" x14ac:dyDescent="0.65"/>
    <row r="7" spans="1:38" ht="13" customHeight="1" x14ac:dyDescent="0.65">
      <c r="A7" s="35"/>
      <c r="B7" s="35" t="s">
        <v>17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38" ht="10.5" customHeight="1" x14ac:dyDescent="0.65">
      <c r="B8" s="4" t="s">
        <v>18</v>
      </c>
      <c r="C8" s="5">
        <v>0</v>
      </c>
      <c r="D8" s="5">
        <v>9500</v>
      </c>
      <c r="E8" s="5">
        <v>48701.67</v>
      </c>
      <c r="F8" s="5">
        <v>127326.48</v>
      </c>
      <c r="G8" s="5">
        <v>17362</v>
      </c>
      <c r="H8" s="5">
        <v>75456.25</v>
      </c>
      <c r="I8" s="5">
        <v>56415.38</v>
      </c>
      <c r="J8" s="5">
        <v>106434.5</v>
      </c>
      <c r="K8" s="5">
        <v>266115</v>
      </c>
      <c r="L8" s="5">
        <v>203403.3</v>
      </c>
      <c r="M8" s="5">
        <v>48701.67</v>
      </c>
      <c r="N8" s="5">
        <v>89138.3</v>
      </c>
      <c r="O8" s="5">
        <v>112127.84</v>
      </c>
      <c r="P8" s="5">
        <v>88199.25</v>
      </c>
      <c r="Q8" s="5">
        <v>178778.5</v>
      </c>
      <c r="R8" s="5">
        <v>149737.54999999999</v>
      </c>
      <c r="S8" s="42">
        <f>Operational!F36</f>
        <v>210415.42168674699</v>
      </c>
      <c r="T8" s="42">
        <f>Operational!G36</f>
        <v>370491.22566371685</v>
      </c>
      <c r="U8" s="42">
        <f>Operational!H36</f>
        <v>294521.17499999999</v>
      </c>
      <c r="V8" s="42">
        <f>Operational!I36</f>
        <v>529345.41</v>
      </c>
      <c r="W8" s="42">
        <f>Operational!J36</f>
        <v>706450.0625</v>
      </c>
      <c r="X8" s="42">
        <f>Operational!K36</f>
        <v>814023.24812500004</v>
      </c>
      <c r="Y8" s="42">
        <f>Operational!L36</f>
        <v>983800.19540624996</v>
      </c>
      <c r="Z8" s="42">
        <f>Operational!M36</f>
        <v>1231000.2442578124</v>
      </c>
      <c r="AA8" s="42">
        <f>Operational!N36</f>
        <v>1537500.3053222657</v>
      </c>
      <c r="AB8" s="42">
        <f>Operational!O36</f>
        <v>1924375.381652832</v>
      </c>
      <c r="AC8" s="42">
        <f>Operational!P36</f>
        <v>5442969.22706604</v>
      </c>
      <c r="AD8" s="42">
        <f>Operational!Q36</f>
        <v>9079961.53383255</v>
      </c>
      <c r="AE8" s="42">
        <f>Operational!R36</f>
        <v>12867451.917290688</v>
      </c>
      <c r="AF8" s="42">
        <f>Operational!S36</f>
        <v>16843064.896613359</v>
      </c>
      <c r="AG8" s="42">
        <f>Operational!T36</f>
        <v>21055081.120766699</v>
      </c>
      <c r="AH8" s="42">
        <f>Operational!U36</f>
        <v>25557601.400958374</v>
      </c>
      <c r="AI8" s="42">
        <f>Operational!V36</f>
        <v>30430751.751197968</v>
      </c>
      <c r="AJ8" s="42">
        <f>Operational!W36</f>
        <v>35755939.688997462</v>
      </c>
      <c r="AK8" s="42">
        <f>Operational!X36</f>
        <v>41656174.611246824</v>
      </c>
      <c r="AL8" s="42">
        <f>Operational!Y36</f>
        <v>48271468.26405853</v>
      </c>
    </row>
    <row r="9" spans="1:38" ht="10.5" customHeight="1" x14ac:dyDescent="0.65">
      <c r="B9" s="6" t="s">
        <v>19</v>
      </c>
      <c r="C9" s="7">
        <v>0</v>
      </c>
      <c r="D9" s="7">
        <v>0</v>
      </c>
      <c r="E9" s="7">
        <v>10871.08</v>
      </c>
      <c r="F9" s="7">
        <v>0</v>
      </c>
      <c r="G9" s="7">
        <v>0</v>
      </c>
      <c r="H9" s="7">
        <v>200</v>
      </c>
      <c r="I9" s="7">
        <v>1000</v>
      </c>
      <c r="J9" s="7">
        <v>250</v>
      </c>
      <c r="K9" s="7">
        <v>3706</v>
      </c>
      <c r="L9" s="7">
        <v>6501.5</v>
      </c>
      <c r="M9" s="7">
        <v>10871.08</v>
      </c>
      <c r="N9" s="7">
        <v>3965.75</v>
      </c>
      <c r="O9" s="7">
        <v>8451.7800000000007</v>
      </c>
      <c r="P9" s="7">
        <v>5223.0600000000004</v>
      </c>
      <c r="Q9" s="7">
        <v>10010.5</v>
      </c>
      <c r="R9" s="7">
        <v>9421.9500000000007</v>
      </c>
      <c r="S9" s="42">
        <f>Operational!F59</f>
        <v>5156.25</v>
      </c>
      <c r="T9" s="42">
        <f>Operational!G59</f>
        <v>6906.25</v>
      </c>
      <c r="U9" s="42">
        <f>Operational!H59</f>
        <v>7937.5</v>
      </c>
      <c r="V9" s="42">
        <f>Operational!I59</f>
        <v>9531.25</v>
      </c>
      <c r="W9" s="42">
        <f>Operational!J59</f>
        <v>29456.25</v>
      </c>
      <c r="X9" s="42">
        <f>Operational!K59</f>
        <v>34406.25</v>
      </c>
      <c r="Y9" s="42">
        <f>Operational!L59</f>
        <v>42675</v>
      </c>
      <c r="Z9" s="42">
        <f>Operational!M59</f>
        <v>487633.08823529416</v>
      </c>
      <c r="AA9" s="42">
        <f>Operational!N59</f>
        <v>935047.42647058831</v>
      </c>
      <c r="AB9" s="42">
        <f>Operational!O59</f>
        <v>1386530.5147058824</v>
      </c>
      <c r="AC9" s="42">
        <f>Operational!P59</f>
        <v>1920426.1029411766</v>
      </c>
      <c r="AD9" s="42">
        <f>Operational!Q59</f>
        <v>2459821.6911764708</v>
      </c>
      <c r="AE9" s="42">
        <f>Operational!R59</f>
        <v>3005342.2794117648</v>
      </c>
      <c r="AF9" s="42">
        <f>Operational!S59</f>
        <v>3559594.1176470588</v>
      </c>
      <c r="AG9" s="42">
        <f>Operational!T59</f>
        <v>4123514.7058823532</v>
      </c>
      <c r="AH9" s="42">
        <f>Operational!U59</f>
        <v>4700085.2941176472</v>
      </c>
      <c r="AI9" s="42">
        <f>Operational!V59</f>
        <v>5292724.6323529417</v>
      </c>
      <c r="AJ9" s="42">
        <f>Operational!W59</f>
        <v>5904451.4705882352</v>
      </c>
      <c r="AK9" s="42">
        <f>Operational!X59</f>
        <v>6541290.8088235296</v>
      </c>
      <c r="AL9" s="42">
        <f>Operational!Y59</f>
        <v>7209211.3970588241</v>
      </c>
    </row>
    <row r="10" spans="1:38" ht="10.5" customHeight="1" x14ac:dyDescent="0.65">
      <c r="B10" s="6" t="s">
        <v>20</v>
      </c>
      <c r="C10" s="7">
        <v>0</v>
      </c>
      <c r="D10" s="7">
        <v>188.58</v>
      </c>
      <c r="E10" s="7">
        <v>16.07</v>
      </c>
      <c r="F10" s="7">
        <v>240.92</v>
      </c>
      <c r="G10" s="7">
        <v>36.39</v>
      </c>
      <c r="H10" s="7">
        <v>150.32</v>
      </c>
      <c r="I10" s="7">
        <v>118.52</v>
      </c>
      <c r="J10" s="7">
        <v>8.68</v>
      </c>
      <c r="K10" s="7">
        <v>4.3600000000000003</v>
      </c>
      <c r="L10" s="7">
        <v>12.63</v>
      </c>
      <c r="M10" s="7">
        <v>16.07</v>
      </c>
      <c r="N10" s="7">
        <v>10.1</v>
      </c>
      <c r="O10" s="7">
        <v>4.2</v>
      </c>
      <c r="P10" s="7">
        <v>15.7</v>
      </c>
      <c r="Q10" s="7">
        <v>109.5</v>
      </c>
      <c r="R10" s="7">
        <v>273.72000000000003</v>
      </c>
      <c r="S10" s="42">
        <f>Operational!F51</f>
        <v>0</v>
      </c>
      <c r="T10" s="42">
        <f>Operational!G51</f>
        <v>0</v>
      </c>
      <c r="U10" s="42">
        <f>Operational!H51</f>
        <v>0</v>
      </c>
      <c r="V10" s="42">
        <f>Operational!I51</f>
        <v>0</v>
      </c>
      <c r="W10" s="42">
        <f>Operational!J51</f>
        <v>0</v>
      </c>
      <c r="X10" s="42">
        <f>Operational!K51</f>
        <v>0</v>
      </c>
      <c r="Y10" s="42">
        <f>Operational!L51</f>
        <v>0</v>
      </c>
      <c r="Z10" s="42">
        <f>Operational!M51</f>
        <v>0</v>
      </c>
      <c r="AA10" s="42">
        <f>Operational!N51</f>
        <v>0</v>
      </c>
      <c r="AB10" s="42">
        <f>Operational!O51</f>
        <v>0</v>
      </c>
      <c r="AC10" s="42">
        <f>Operational!P51</f>
        <v>0</v>
      </c>
      <c r="AD10" s="42">
        <f>Operational!Q51</f>
        <v>0</v>
      </c>
      <c r="AE10" s="42">
        <f>Operational!R51</f>
        <v>0</v>
      </c>
      <c r="AF10" s="42">
        <f>Operational!S51</f>
        <v>0</v>
      </c>
      <c r="AG10" s="42">
        <f>Operational!T51</f>
        <v>0</v>
      </c>
      <c r="AH10" s="42">
        <f>Operational!U51</f>
        <v>0</v>
      </c>
      <c r="AI10" s="42">
        <f>Operational!V51</f>
        <v>0</v>
      </c>
      <c r="AJ10" s="42">
        <f>Operational!W51</f>
        <v>0</v>
      </c>
      <c r="AK10" s="42">
        <f>Operational!X51</f>
        <v>0</v>
      </c>
      <c r="AL10" s="42">
        <f>Operational!Y51</f>
        <v>0</v>
      </c>
    </row>
    <row r="11" spans="1:38" ht="10.5" customHeight="1" x14ac:dyDescent="0.65">
      <c r="A11" s="8" t="s">
        <v>21</v>
      </c>
      <c r="C11" s="9">
        <f t="shared" ref="C11:AL11" si="21">SUM(C8:C10)</f>
        <v>0</v>
      </c>
      <c r="D11" s="9">
        <f t="shared" si="21"/>
        <v>9688.58</v>
      </c>
      <c r="E11" s="9">
        <f t="shared" si="21"/>
        <v>59588.82</v>
      </c>
      <c r="F11" s="9">
        <f t="shared" si="21"/>
        <v>127567.4</v>
      </c>
      <c r="G11" s="9">
        <f t="shared" si="21"/>
        <v>17398.39</v>
      </c>
      <c r="H11" s="9">
        <f t="shared" si="21"/>
        <v>75806.570000000007</v>
      </c>
      <c r="I11" s="9">
        <f t="shared" si="21"/>
        <v>57533.899999999994</v>
      </c>
      <c r="J11" s="9">
        <f t="shared" si="21"/>
        <v>106693.18</v>
      </c>
      <c r="K11" s="9">
        <f t="shared" si="21"/>
        <v>269825.36</v>
      </c>
      <c r="L11" s="9">
        <f t="shared" si="21"/>
        <v>209917.43</v>
      </c>
      <c r="M11" s="9">
        <f t="shared" si="21"/>
        <v>59588.82</v>
      </c>
      <c r="N11" s="9">
        <f t="shared" si="21"/>
        <v>93114.150000000009</v>
      </c>
      <c r="O11" s="9">
        <f t="shared" si="21"/>
        <v>120583.81999999999</v>
      </c>
      <c r="P11" s="9">
        <f t="shared" si="21"/>
        <v>93438.01</v>
      </c>
      <c r="Q11" s="9">
        <f t="shared" si="21"/>
        <v>188898.5</v>
      </c>
      <c r="R11" s="9">
        <f t="shared" si="21"/>
        <v>159433.22</v>
      </c>
      <c r="S11" s="9">
        <f t="shared" si="21"/>
        <v>215571.67168674699</v>
      </c>
      <c r="T11" s="9">
        <f t="shared" si="21"/>
        <v>377397.47566371685</v>
      </c>
      <c r="U11" s="9">
        <f t="shared" si="21"/>
        <v>302458.67499999999</v>
      </c>
      <c r="V11" s="9">
        <f t="shared" si="21"/>
        <v>538876.66</v>
      </c>
      <c r="W11" s="9">
        <f t="shared" si="21"/>
        <v>735906.3125</v>
      </c>
      <c r="X11" s="9">
        <f t="shared" si="21"/>
        <v>848429.49812500004</v>
      </c>
      <c r="Y11" s="9">
        <f t="shared" si="21"/>
        <v>1026475.19540625</v>
      </c>
      <c r="Z11" s="9">
        <f t="shared" si="21"/>
        <v>1718633.3324931066</v>
      </c>
      <c r="AA11" s="9">
        <f t="shared" si="21"/>
        <v>2472547.7317928541</v>
      </c>
      <c r="AB11" s="9">
        <f t="shared" si="21"/>
        <v>3310905.8963587144</v>
      </c>
      <c r="AC11" s="9">
        <f t="shared" si="21"/>
        <v>7363395.3300072169</v>
      </c>
      <c r="AD11" s="9">
        <f t="shared" si="21"/>
        <v>11539783.22500902</v>
      </c>
      <c r="AE11" s="9">
        <f t="shared" si="21"/>
        <v>15872794.196702452</v>
      </c>
      <c r="AF11" s="9">
        <f t="shared" si="21"/>
        <v>20402659.014260419</v>
      </c>
      <c r="AG11" s="9">
        <f t="shared" si="21"/>
        <v>25178595.826649051</v>
      </c>
      <c r="AH11" s="9">
        <f t="shared" si="21"/>
        <v>30257686.695076022</v>
      </c>
      <c r="AI11" s="9">
        <f t="shared" si="21"/>
        <v>35723476.383550912</v>
      </c>
      <c r="AJ11" s="9">
        <f t="shared" si="21"/>
        <v>41660391.159585699</v>
      </c>
      <c r="AK11" s="9">
        <f t="shared" si="21"/>
        <v>48197465.42007035</v>
      </c>
      <c r="AL11" s="9">
        <f t="shared" si="21"/>
        <v>55480679.661117353</v>
      </c>
    </row>
    <row r="12" spans="1:38" ht="13.4" customHeight="1" x14ac:dyDescent="0.65"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1:38" ht="13" customHeight="1" x14ac:dyDescent="0.65">
      <c r="A13" s="35"/>
      <c r="B13" s="35" t="s">
        <v>22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1:38" ht="10.5" customHeight="1" x14ac:dyDescent="0.65">
      <c r="B14" s="4" t="s">
        <v>23</v>
      </c>
      <c r="C14" s="5">
        <v>0</v>
      </c>
      <c r="D14" s="5">
        <v>0</v>
      </c>
      <c r="E14" s="5">
        <v>830.5</v>
      </c>
      <c r="F14" s="5">
        <v>149.5</v>
      </c>
      <c r="G14" s="5">
        <v>228</v>
      </c>
      <c r="H14" s="5">
        <v>55.5</v>
      </c>
      <c r="I14" s="5">
        <v>201</v>
      </c>
      <c r="J14" s="5">
        <v>225.5</v>
      </c>
      <c r="K14" s="5">
        <v>111</v>
      </c>
      <c r="L14" s="5">
        <v>295</v>
      </c>
      <c r="M14" s="5">
        <v>830.5</v>
      </c>
      <c r="N14" s="5">
        <v>11329.29</v>
      </c>
      <c r="O14" s="5">
        <v>0</v>
      </c>
      <c r="P14" s="5">
        <v>0</v>
      </c>
      <c r="Q14" s="5">
        <v>0</v>
      </c>
      <c r="R14" s="5">
        <v>0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1:38" ht="10.5" customHeight="1" x14ac:dyDescent="0.65">
      <c r="B15" s="6" t="s">
        <v>269</v>
      </c>
      <c r="C15" s="7">
        <v>0</v>
      </c>
      <c r="D15" s="7">
        <v>225</v>
      </c>
      <c r="E15" s="7">
        <v>4300.9799999999996</v>
      </c>
      <c r="F15" s="7">
        <v>1440</v>
      </c>
      <c r="G15" s="7">
        <v>3340</v>
      </c>
      <c r="H15" s="7">
        <v>2760</v>
      </c>
      <c r="I15" s="7">
        <v>6608</v>
      </c>
      <c r="J15" s="7">
        <v>5504</v>
      </c>
      <c r="K15" s="7">
        <v>5215</v>
      </c>
      <c r="L15" s="7">
        <v>3820</v>
      </c>
      <c r="M15" s="7">
        <v>4300.9799999999996</v>
      </c>
      <c r="N15" s="7">
        <v>3065</v>
      </c>
      <c r="O15" s="7">
        <v>2965</v>
      </c>
      <c r="P15" s="7">
        <v>4334.49</v>
      </c>
      <c r="Q15" s="7">
        <v>8468.93</v>
      </c>
      <c r="R15" s="7">
        <v>8510</v>
      </c>
      <c r="S15" s="43">
        <f>-Operational!F62</f>
        <v>15675</v>
      </c>
      <c r="T15" s="43">
        <f>-Operational!G62</f>
        <v>20995</v>
      </c>
      <c r="U15" s="43">
        <f>-Operational!H62</f>
        <v>24130</v>
      </c>
      <c r="V15" s="43">
        <f>-Operational!I62</f>
        <v>28975</v>
      </c>
      <c r="W15" s="43">
        <f>-Operational!J62</f>
        <v>36195</v>
      </c>
      <c r="X15" s="43">
        <f>-Operational!K62</f>
        <v>45315</v>
      </c>
      <c r="Y15" s="43">
        <f>-Operational!L62</f>
        <v>56620</v>
      </c>
      <c r="Z15" s="43">
        <f>-Operational!M62</f>
        <v>109250</v>
      </c>
      <c r="AA15" s="43">
        <f>-Operational!N62</f>
        <v>165395</v>
      </c>
      <c r="AB15" s="43">
        <f>-Operational!O62</f>
        <v>226005</v>
      </c>
      <c r="AC15" s="43">
        <f>-Operational!P62</f>
        <v>292125</v>
      </c>
      <c r="AD15" s="43">
        <f>-Operational!Q62</f>
        <v>365085</v>
      </c>
      <c r="AE15" s="43">
        <f>-Operational!R62</f>
        <v>446785</v>
      </c>
      <c r="AF15" s="43">
        <f>-Operational!S62</f>
        <v>539220</v>
      </c>
      <c r="AG15" s="43">
        <f>-Operational!T62</f>
        <v>645240</v>
      </c>
      <c r="AH15" s="43">
        <f>-Operational!U62</f>
        <v>767980</v>
      </c>
      <c r="AI15" s="43">
        <f>-Operational!V62</f>
        <v>911905</v>
      </c>
      <c r="AJ15" s="43">
        <f>-Operational!W62</f>
        <v>1082240</v>
      </c>
      <c r="AK15" s="43">
        <f>-Operational!X62</f>
        <v>1285445</v>
      </c>
      <c r="AL15" s="43">
        <f>-Operational!Y62</f>
        <v>1529785</v>
      </c>
    </row>
    <row r="16" spans="1:38" ht="10.5" customHeight="1" x14ac:dyDescent="0.65">
      <c r="B16" s="6" t="s">
        <v>270</v>
      </c>
      <c r="C16" s="7">
        <v>0</v>
      </c>
      <c r="D16" s="7">
        <v>9975</v>
      </c>
      <c r="E16" s="7">
        <v>33068</v>
      </c>
      <c r="F16" s="7">
        <v>114935.45</v>
      </c>
      <c r="G16" s="7">
        <v>13580</v>
      </c>
      <c r="H16" s="7">
        <v>63640</v>
      </c>
      <c r="I16" s="7">
        <v>44434.5</v>
      </c>
      <c r="J16" s="7">
        <v>86570.25</v>
      </c>
      <c r="K16" s="7">
        <v>216804.17</v>
      </c>
      <c r="L16" s="7">
        <v>163641.5</v>
      </c>
      <c r="M16" s="7">
        <v>33068</v>
      </c>
      <c r="N16" s="7">
        <v>69970</v>
      </c>
      <c r="O16" s="7">
        <v>86672.62</v>
      </c>
      <c r="P16" s="7">
        <v>72232.5</v>
      </c>
      <c r="Q16" s="7">
        <v>124762.5</v>
      </c>
      <c r="R16" s="7">
        <v>96788</v>
      </c>
      <c r="S16" s="43">
        <f>-Operational!F42</f>
        <v>92306.024096385547</v>
      </c>
      <c r="T16" s="43">
        <f>-Operational!G42</f>
        <v>183662.12389380531</v>
      </c>
      <c r="U16" s="43">
        <f>-Operational!H42</f>
        <v>142848.57142857142</v>
      </c>
      <c r="V16" s="43">
        <f>-Operational!I42</f>
        <v>316000</v>
      </c>
      <c r="W16" s="43">
        <f>-Operational!J42</f>
        <v>424000</v>
      </c>
      <c r="X16" s="43">
        <f>-Operational!K42</f>
        <v>488000</v>
      </c>
      <c r="Y16" s="43">
        <f>-Operational!L42</f>
        <v>512000</v>
      </c>
      <c r="Z16" s="43">
        <f>-Operational!M42</f>
        <v>640000</v>
      </c>
      <c r="AA16" s="43">
        <f>-Operational!N42</f>
        <v>800000</v>
      </c>
      <c r="AB16" s="43">
        <f>-Operational!O42</f>
        <v>1004000</v>
      </c>
      <c r="AC16" s="43">
        <f>-Operational!P42</f>
        <v>3116000</v>
      </c>
      <c r="AD16" s="43">
        <f>-Operational!Q42</f>
        <v>5424000</v>
      </c>
      <c r="AE16" s="43">
        <f>-Operational!R42</f>
        <v>7800000</v>
      </c>
      <c r="AF16" s="43">
        <f>-Operational!S42</f>
        <v>10260000</v>
      </c>
      <c r="AG16" s="43">
        <f>-Operational!T42</f>
        <v>12828000</v>
      </c>
      <c r="AH16" s="43">
        <f>-Operational!U42</f>
        <v>15520000</v>
      </c>
      <c r="AI16" s="43">
        <f>-Operational!V42</f>
        <v>18384000</v>
      </c>
      <c r="AJ16" s="43">
        <f>-Operational!W42</f>
        <v>21444000</v>
      </c>
      <c r="AK16" s="43">
        <f>-Operational!X42</f>
        <v>24764000</v>
      </c>
      <c r="AL16" s="43">
        <f>-Operational!Y42</f>
        <v>28400000</v>
      </c>
    </row>
    <row r="17" spans="1:38" ht="10.5" customHeight="1" x14ac:dyDescent="0.65">
      <c r="B17" s="6" t="s">
        <v>271</v>
      </c>
      <c r="C17" s="7">
        <v>0</v>
      </c>
      <c r="D17" s="7">
        <v>0</v>
      </c>
      <c r="E17" s="7">
        <v>7870.58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4740</v>
      </c>
      <c r="M17" s="7">
        <v>7870.58</v>
      </c>
      <c r="N17" s="7">
        <v>2575</v>
      </c>
      <c r="O17" s="7">
        <v>5838.33</v>
      </c>
      <c r="P17" s="7">
        <v>3707.2</v>
      </c>
      <c r="Q17" s="7">
        <v>8670.73</v>
      </c>
      <c r="R17" s="7">
        <v>7214.02</v>
      </c>
      <c r="S17" s="43">
        <f>-Operational!F64</f>
        <v>0</v>
      </c>
      <c r="T17" s="43">
        <f>-Operational!G64</f>
        <v>0</v>
      </c>
      <c r="U17" s="43">
        <f>-Operational!H64</f>
        <v>0</v>
      </c>
      <c r="V17" s="43">
        <f>-Operational!I64</f>
        <v>0</v>
      </c>
      <c r="W17" s="43">
        <f>-Operational!J64</f>
        <v>0</v>
      </c>
      <c r="X17" s="43">
        <f>-Operational!K64</f>
        <v>0</v>
      </c>
      <c r="Y17" s="43">
        <f>-Operational!L64</f>
        <v>0</v>
      </c>
      <c r="Z17" s="43">
        <f>-Operational!M64</f>
        <v>329741.4705882353</v>
      </c>
      <c r="AA17" s="43">
        <f>-Operational!N64</f>
        <v>659482.9411764706</v>
      </c>
      <c r="AB17" s="43">
        <f>-Operational!O64</f>
        <v>989224.41176470579</v>
      </c>
      <c r="AC17" s="43">
        <f>-Operational!P64</f>
        <v>1318965.8823529412</v>
      </c>
      <c r="AD17" s="43">
        <f>-Operational!Q64</f>
        <v>1648707.3529411764</v>
      </c>
      <c r="AE17" s="43">
        <f>-Operational!R64</f>
        <v>1978448.8235294116</v>
      </c>
      <c r="AF17" s="43">
        <f>-Operational!S64</f>
        <v>2308190.2941176468</v>
      </c>
      <c r="AG17" s="43">
        <f>-Operational!T64</f>
        <v>2637931.7647058824</v>
      </c>
      <c r="AH17" s="43">
        <f>-Operational!U64</f>
        <v>2967673.2352941176</v>
      </c>
      <c r="AI17" s="43">
        <f>-Operational!V64</f>
        <v>3297414.7058823528</v>
      </c>
      <c r="AJ17" s="43">
        <f>-Operational!W64</f>
        <v>3627156.176470588</v>
      </c>
      <c r="AK17" s="43">
        <f>-Operational!X64</f>
        <v>3956897.6470588231</v>
      </c>
      <c r="AL17" s="43">
        <f>-Operational!Y64</f>
        <v>4286639.1176470583</v>
      </c>
    </row>
    <row r="18" spans="1:38" ht="10.5" customHeight="1" x14ac:dyDescent="0.65">
      <c r="B18" s="6" t="s">
        <v>272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390</v>
      </c>
      <c r="Q18" s="7">
        <v>0</v>
      </c>
      <c r="R18" s="7">
        <v>105.83</v>
      </c>
      <c r="S18" s="43">
        <f>-Operational!F68</f>
        <v>210</v>
      </c>
      <c r="T18" s="43">
        <f>-Operational!G68</f>
        <v>770</v>
      </c>
      <c r="U18" s="43">
        <f>-Operational!H68</f>
        <v>560</v>
      </c>
      <c r="V18" s="43">
        <f>-Operational!I68</f>
        <v>1400</v>
      </c>
      <c r="W18" s="43">
        <f>-Operational!J68</f>
        <v>1890</v>
      </c>
      <c r="X18" s="43">
        <f>-Operational!K68</f>
        <v>2100</v>
      </c>
      <c r="Y18" s="43">
        <f>-Operational!L68</f>
        <v>3850</v>
      </c>
      <c r="Z18" s="43">
        <f>-Operational!M68</f>
        <v>4830</v>
      </c>
      <c r="AA18" s="43">
        <f>-Operational!N68</f>
        <v>6020</v>
      </c>
      <c r="AB18" s="43">
        <f>-Operational!O68</f>
        <v>7490</v>
      </c>
      <c r="AC18" s="43">
        <f>-Operational!P68</f>
        <v>19320</v>
      </c>
      <c r="AD18" s="43">
        <f>-Operational!Q68</f>
        <v>29260</v>
      </c>
      <c r="AE18" s="43">
        <f>-Operational!R68</f>
        <v>39970</v>
      </c>
      <c r="AF18" s="43">
        <f>-Operational!S68</f>
        <v>51660</v>
      </c>
      <c r="AG18" s="43">
        <f>-Operational!T68</f>
        <v>64540</v>
      </c>
      <c r="AH18" s="43">
        <f>-Operational!U68</f>
        <v>79030</v>
      </c>
      <c r="AI18" s="43">
        <f>-Operational!V68</f>
        <v>95340</v>
      </c>
      <c r="AJ18" s="43">
        <f>-Operational!W68</f>
        <v>114100</v>
      </c>
      <c r="AK18" s="43">
        <f>-Operational!X68</f>
        <v>135800</v>
      </c>
      <c r="AL18" s="43">
        <f>-Operational!Y68</f>
        <v>161280</v>
      </c>
    </row>
    <row r="19" spans="1:38" ht="10.5" customHeight="1" x14ac:dyDescent="0.65">
      <c r="A19" s="8" t="s">
        <v>24</v>
      </c>
      <c r="C19" s="9">
        <f t="shared" ref="C19:S19" si="22">SUM(C14:C18)</f>
        <v>0</v>
      </c>
      <c r="D19" s="9">
        <f t="shared" si="22"/>
        <v>10200</v>
      </c>
      <c r="E19" s="9">
        <f t="shared" si="22"/>
        <v>46070.06</v>
      </c>
      <c r="F19" s="9">
        <f t="shared" si="22"/>
        <v>116524.95</v>
      </c>
      <c r="G19" s="9">
        <f t="shared" si="22"/>
        <v>17148</v>
      </c>
      <c r="H19" s="9">
        <f t="shared" si="22"/>
        <v>66455.5</v>
      </c>
      <c r="I19" s="9">
        <f t="shared" si="22"/>
        <v>51243.5</v>
      </c>
      <c r="J19" s="9">
        <f t="shared" si="22"/>
        <v>92299.75</v>
      </c>
      <c r="K19" s="9">
        <f t="shared" si="22"/>
        <v>222130.17</v>
      </c>
      <c r="L19" s="9">
        <f t="shared" si="22"/>
        <v>172496.5</v>
      </c>
      <c r="M19" s="9">
        <f t="shared" si="22"/>
        <v>46070.06</v>
      </c>
      <c r="N19" s="9">
        <f t="shared" si="22"/>
        <v>86939.290000000008</v>
      </c>
      <c r="O19" s="9">
        <f t="shared" si="22"/>
        <v>95475.95</v>
      </c>
      <c r="P19" s="9">
        <f t="shared" si="22"/>
        <v>80664.19</v>
      </c>
      <c r="Q19" s="9">
        <f t="shared" si="22"/>
        <v>141902.16</v>
      </c>
      <c r="R19" s="9">
        <f t="shared" si="22"/>
        <v>112617.85</v>
      </c>
      <c r="S19" s="9">
        <f t="shared" si="22"/>
        <v>108191.02409638555</v>
      </c>
      <c r="T19" s="9">
        <f t="shared" ref="T19:AL19" si="23">SUM(T14:T18)</f>
        <v>205427.12389380531</v>
      </c>
      <c r="U19" s="9">
        <f t="shared" si="23"/>
        <v>167538.57142857142</v>
      </c>
      <c r="V19" s="9">
        <f t="shared" si="23"/>
        <v>346375</v>
      </c>
      <c r="W19" s="9">
        <f t="shared" si="23"/>
        <v>462085</v>
      </c>
      <c r="X19" s="9">
        <f t="shared" si="23"/>
        <v>535415</v>
      </c>
      <c r="Y19" s="9">
        <f t="shared" si="23"/>
        <v>572470</v>
      </c>
      <c r="Z19" s="9">
        <f t="shared" si="23"/>
        <v>1083821.4705882352</v>
      </c>
      <c r="AA19" s="9">
        <f t="shared" si="23"/>
        <v>1630897.9411764706</v>
      </c>
      <c r="AB19" s="9">
        <f t="shared" si="23"/>
        <v>2226719.4117647056</v>
      </c>
      <c r="AC19" s="9">
        <f t="shared" si="23"/>
        <v>4746410.8823529407</v>
      </c>
      <c r="AD19" s="9">
        <f t="shared" si="23"/>
        <v>7467052.3529411759</v>
      </c>
      <c r="AE19" s="9">
        <f t="shared" si="23"/>
        <v>10265203.823529411</v>
      </c>
      <c r="AF19" s="9">
        <f t="shared" si="23"/>
        <v>13159070.294117646</v>
      </c>
      <c r="AG19" s="9">
        <f t="shared" si="23"/>
        <v>16175711.764705881</v>
      </c>
      <c r="AH19" s="9">
        <f t="shared" si="23"/>
        <v>19334683.235294119</v>
      </c>
      <c r="AI19" s="9">
        <f t="shared" si="23"/>
        <v>22688659.705882352</v>
      </c>
      <c r="AJ19" s="9">
        <f t="shared" si="23"/>
        <v>26267496.176470589</v>
      </c>
      <c r="AK19" s="9">
        <f t="shared" si="23"/>
        <v>30142142.647058822</v>
      </c>
      <c r="AL19" s="9">
        <f t="shared" si="23"/>
        <v>34377704.117647059</v>
      </c>
    </row>
    <row r="20" spans="1:38" ht="13.4" customHeight="1" x14ac:dyDescent="0.65"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1:38" ht="10.5" customHeight="1" x14ac:dyDescent="0.65">
      <c r="B21" s="10" t="s">
        <v>25</v>
      </c>
      <c r="C21" s="11">
        <f t="shared" ref="C21:S21" si="24">(C11 - C19)</f>
        <v>0</v>
      </c>
      <c r="D21" s="11">
        <f t="shared" si="24"/>
        <v>-511.42000000000007</v>
      </c>
      <c r="E21" s="11">
        <f t="shared" si="24"/>
        <v>13518.760000000002</v>
      </c>
      <c r="F21" s="11">
        <f t="shared" si="24"/>
        <v>11042.449999999997</v>
      </c>
      <c r="G21" s="11">
        <f t="shared" si="24"/>
        <v>250.38999999999942</v>
      </c>
      <c r="H21" s="11">
        <f t="shared" si="24"/>
        <v>9351.070000000007</v>
      </c>
      <c r="I21" s="11">
        <f t="shared" si="24"/>
        <v>6290.3999999999942</v>
      </c>
      <c r="J21" s="11">
        <f t="shared" si="24"/>
        <v>14393.429999999993</v>
      </c>
      <c r="K21" s="11">
        <f t="shared" si="24"/>
        <v>47695.189999999973</v>
      </c>
      <c r="L21" s="11">
        <f t="shared" si="24"/>
        <v>37420.929999999993</v>
      </c>
      <c r="M21" s="11">
        <f t="shared" si="24"/>
        <v>13518.760000000002</v>
      </c>
      <c r="N21" s="11">
        <f t="shared" si="24"/>
        <v>6174.8600000000006</v>
      </c>
      <c r="O21" s="11">
        <f t="shared" si="24"/>
        <v>25107.869999999995</v>
      </c>
      <c r="P21" s="11">
        <f t="shared" si="24"/>
        <v>12773.819999999992</v>
      </c>
      <c r="Q21" s="11">
        <f t="shared" si="24"/>
        <v>46996.34</v>
      </c>
      <c r="R21" s="11">
        <f t="shared" si="24"/>
        <v>46815.369999999995</v>
      </c>
      <c r="S21" s="11">
        <f t="shared" si="24"/>
        <v>107380.64759036145</v>
      </c>
      <c r="T21" s="11">
        <f t="shared" ref="T21:AL21" si="25">(T11 - T19)</f>
        <v>171970.35176991153</v>
      </c>
      <c r="U21" s="11">
        <f t="shared" si="25"/>
        <v>134920.10357142857</v>
      </c>
      <c r="V21" s="11">
        <f t="shared" si="25"/>
        <v>192501.66000000003</v>
      </c>
      <c r="W21" s="11">
        <f t="shared" si="25"/>
        <v>273821.3125</v>
      </c>
      <c r="X21" s="11">
        <f t="shared" si="25"/>
        <v>313014.49812500004</v>
      </c>
      <c r="Y21" s="11">
        <f t="shared" si="25"/>
        <v>454005.19540624996</v>
      </c>
      <c r="Z21" s="11">
        <f t="shared" si="25"/>
        <v>634811.86190487142</v>
      </c>
      <c r="AA21" s="11">
        <f t="shared" si="25"/>
        <v>841649.79061638354</v>
      </c>
      <c r="AB21" s="11">
        <f t="shared" si="25"/>
        <v>1084186.4845940089</v>
      </c>
      <c r="AC21" s="11">
        <f t="shared" si="25"/>
        <v>2616984.4476542762</v>
      </c>
      <c r="AD21" s="11">
        <f t="shared" si="25"/>
        <v>4072730.8720678445</v>
      </c>
      <c r="AE21" s="11">
        <f t="shared" si="25"/>
        <v>5607590.3731730413</v>
      </c>
      <c r="AF21" s="11">
        <f t="shared" si="25"/>
        <v>7243588.7201427724</v>
      </c>
      <c r="AG21" s="11">
        <f t="shared" si="25"/>
        <v>9002884.0619431697</v>
      </c>
      <c r="AH21" s="11">
        <f t="shared" si="25"/>
        <v>10923003.459781904</v>
      </c>
      <c r="AI21" s="11">
        <f t="shared" si="25"/>
        <v>13034816.67766856</v>
      </c>
      <c r="AJ21" s="11">
        <f t="shared" si="25"/>
        <v>15392894.983115111</v>
      </c>
      <c r="AK21" s="11">
        <f t="shared" si="25"/>
        <v>18055322.773011528</v>
      </c>
      <c r="AL21" s="11">
        <f t="shared" si="25"/>
        <v>21102975.543470293</v>
      </c>
    </row>
    <row r="22" spans="1:38" ht="13.4" customHeight="1" x14ac:dyDescent="0.65"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1:38" ht="13" customHeight="1" x14ac:dyDescent="0.65">
      <c r="A23" s="87" t="s">
        <v>26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1:38" ht="10.5" customHeight="1" x14ac:dyDescent="0.65">
      <c r="B24" s="4" t="s">
        <v>27</v>
      </c>
      <c r="C24" s="5">
        <v>0</v>
      </c>
      <c r="D24" s="5">
        <v>8564.76</v>
      </c>
      <c r="E24" s="5">
        <v>28401.25</v>
      </c>
      <c r="F24" s="5">
        <v>10340.9</v>
      </c>
      <c r="G24" s="5">
        <v>8084.99</v>
      </c>
      <c r="H24" s="5">
        <v>1700.9</v>
      </c>
      <c r="I24" s="5">
        <v>2613</v>
      </c>
      <c r="J24" s="5">
        <v>4783.8500000000004</v>
      </c>
      <c r="K24" s="5">
        <v>8652.48</v>
      </c>
      <c r="L24" s="5">
        <v>15426.25</v>
      </c>
      <c r="M24" s="5">
        <v>28401.25</v>
      </c>
      <c r="N24" s="5">
        <v>11144.65</v>
      </c>
      <c r="O24" s="5">
        <v>1504.99</v>
      </c>
      <c r="P24" s="5">
        <v>9702.31</v>
      </c>
      <c r="Q24" s="5">
        <v>14847.65</v>
      </c>
      <c r="R24" s="5">
        <v>10043.950000000001</v>
      </c>
      <c r="S24" s="42">
        <f>-Operational!F76</f>
        <v>15631</v>
      </c>
      <c r="T24" s="42">
        <f>-Operational!G76</f>
        <v>17194.100000000002</v>
      </c>
      <c r="U24" s="42">
        <f>-Operational!H76</f>
        <v>19773.215</v>
      </c>
      <c r="V24" s="42">
        <f>-Operational!I76</f>
        <v>23727.858</v>
      </c>
      <c r="W24" s="42">
        <f>-Operational!J76</f>
        <v>29659.822500000002</v>
      </c>
      <c r="X24" s="42">
        <f>-Operational!K76</f>
        <v>37074.778125000004</v>
      </c>
      <c r="Y24" s="42">
        <f>-Operational!L76</f>
        <v>46343.472656250007</v>
      </c>
      <c r="Z24" s="42">
        <f>-Operational!M76</f>
        <v>57929.340820312507</v>
      </c>
      <c r="AA24" s="42">
        <f>-Operational!N76</f>
        <v>72411.67602539064</v>
      </c>
      <c r="AB24" s="42">
        <f>-Operational!O76</f>
        <v>90514.595031738296</v>
      </c>
      <c r="AC24" s="42">
        <f>-Operational!P76</f>
        <v>113143.24378967287</v>
      </c>
      <c r="AD24" s="42">
        <f>-Operational!Q76</f>
        <v>141429.05473709109</v>
      </c>
      <c r="AE24" s="42">
        <f>-Operational!R76</f>
        <v>176786.31842136386</v>
      </c>
      <c r="AF24" s="42">
        <f>-Operational!S76</f>
        <v>220982.89802670482</v>
      </c>
      <c r="AG24" s="42">
        <f>-Operational!T76</f>
        <v>276228.62253338104</v>
      </c>
      <c r="AH24" s="42">
        <f>-Operational!U76</f>
        <v>345285.77816672629</v>
      </c>
      <c r="AI24" s="42">
        <f>-Operational!V76</f>
        <v>431607.22270840785</v>
      </c>
      <c r="AJ24" s="42">
        <f>-Operational!W76</f>
        <v>539509.02838550985</v>
      </c>
      <c r="AK24" s="42">
        <f>-Operational!X76</f>
        <v>674386.28548188729</v>
      </c>
      <c r="AL24" s="42">
        <f>-Operational!Y76</f>
        <v>842982.85685235914</v>
      </c>
    </row>
    <row r="25" spans="1:38" ht="10.5" customHeight="1" x14ac:dyDescent="0.65">
      <c r="A25" s="12"/>
      <c r="B25" s="89" t="s">
        <v>28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1:38" ht="10.5" customHeight="1" x14ac:dyDescent="0.65">
      <c r="B26" s="6" t="s">
        <v>29</v>
      </c>
      <c r="C26" s="7">
        <v>0</v>
      </c>
      <c r="D26" s="7">
        <v>23558.57</v>
      </c>
      <c r="E26" s="7">
        <v>29828.92</v>
      </c>
      <c r="F26" s="7">
        <v>70149.09</v>
      </c>
      <c r="G26" s="7">
        <v>50506.06</v>
      </c>
      <c r="H26" s="7">
        <v>23651.61</v>
      </c>
      <c r="I26" s="7">
        <v>25740.32</v>
      </c>
      <c r="J26" s="7">
        <v>37439.71</v>
      </c>
      <c r="K26" s="7">
        <v>15142.44</v>
      </c>
      <c r="L26" s="7">
        <v>20876.099999999999</v>
      </c>
      <c r="M26" s="7">
        <v>29828.92</v>
      </c>
      <c r="N26" s="7">
        <v>66567.100000000006</v>
      </c>
      <c r="O26" s="7">
        <v>62850.34</v>
      </c>
      <c r="P26" s="7">
        <v>42239.95</v>
      </c>
      <c r="Q26" s="7">
        <v>23737.56</v>
      </c>
      <c r="R26" s="7">
        <v>61233.2</v>
      </c>
      <c r="S26" s="42">
        <f>-Operational!F77</f>
        <v>52761.938313253013</v>
      </c>
      <c r="T26" s="42">
        <f>-Operational!G77</f>
        <v>47399.445663716819</v>
      </c>
      <c r="U26" s="42">
        <f>-Operational!H77</f>
        <v>40466.542857142857</v>
      </c>
      <c r="V26" s="42">
        <f>-Operational!I77</f>
        <v>39296</v>
      </c>
      <c r="W26" s="42">
        <f>-Operational!J77</f>
        <v>42534</v>
      </c>
      <c r="X26" s="42">
        <f>-Operational!K77</f>
        <v>49778</v>
      </c>
      <c r="Y26" s="42">
        <f>-Operational!L77</f>
        <v>54672</v>
      </c>
      <c r="Z26" s="42">
        <f>-Operational!M77</f>
        <v>98620</v>
      </c>
      <c r="AA26" s="42">
        <f>-Operational!N77</f>
        <v>133870</v>
      </c>
      <c r="AB26" s="42">
        <f>-Operational!O77</f>
        <v>175364</v>
      </c>
      <c r="AC26" s="42">
        <f>-Operational!P77</f>
        <v>275316</v>
      </c>
      <c r="AD26" s="42">
        <f>-Operational!Q77</f>
        <v>374954</v>
      </c>
      <c r="AE26" s="42">
        <f>-Operational!R77</f>
        <v>479820</v>
      </c>
      <c r="AF26" s="42">
        <f>-Operational!S77</f>
        <v>597120</v>
      </c>
      <c r="AG26" s="42">
        <f>-Operational!T77</f>
        <v>721608</v>
      </c>
      <c r="AH26" s="42">
        <f>-Operational!U77</f>
        <v>858100</v>
      </c>
      <c r="AI26" s="42">
        <f>-Operational!V77</f>
        <v>1017244</v>
      </c>
      <c r="AJ26" s="42">
        <f>-Operational!W77</f>
        <v>1195264</v>
      </c>
      <c r="AK26" s="42">
        <f>-Operational!X77</f>
        <v>1398134</v>
      </c>
      <c r="AL26" s="42">
        <f>-Operational!Y77</f>
        <v>1636380</v>
      </c>
    </row>
    <row r="27" spans="1:38" ht="10.5" customHeight="1" x14ac:dyDescent="0.65">
      <c r="B27" s="6" t="s">
        <v>30</v>
      </c>
      <c r="C27" s="7">
        <v>0</v>
      </c>
      <c r="D27" s="7">
        <v>33468.65</v>
      </c>
      <c r="E27" s="7">
        <v>141921.38</v>
      </c>
      <c r="F27" s="7">
        <v>22219.17</v>
      </c>
      <c r="G27" s="7">
        <v>24332.49</v>
      </c>
      <c r="H27" s="7">
        <v>49184.18</v>
      </c>
      <c r="I27" s="7">
        <v>96724.02</v>
      </c>
      <c r="J27" s="7">
        <v>105283.09</v>
      </c>
      <c r="K27" s="7">
        <v>133336.9</v>
      </c>
      <c r="L27" s="7">
        <v>128292.07</v>
      </c>
      <c r="M27" s="7">
        <v>141921.38</v>
      </c>
      <c r="N27" s="7">
        <v>140405.13</v>
      </c>
      <c r="O27" s="7">
        <v>147327.41</v>
      </c>
      <c r="P27" s="7">
        <v>163550.32</v>
      </c>
      <c r="Q27" s="7">
        <v>154424.03</v>
      </c>
      <c r="R27" s="7">
        <v>136511.01999999999</v>
      </c>
      <c r="S27" s="42">
        <f>-Operational!F78</f>
        <v>175873.12771084337</v>
      </c>
      <c r="T27" s="42">
        <f>-Operational!G78</f>
        <v>157998.1522123894</v>
      </c>
      <c r="U27" s="42">
        <f>-Operational!H78</f>
        <v>161866.17142857143</v>
      </c>
      <c r="V27" s="42">
        <f>-Operational!I78</f>
        <v>196480</v>
      </c>
      <c r="W27" s="42">
        <f>-Operational!J78</f>
        <v>212670</v>
      </c>
      <c r="X27" s="42">
        <f>-Operational!K78</f>
        <v>248890</v>
      </c>
      <c r="Y27" s="42">
        <f>-Operational!L78</f>
        <v>273360</v>
      </c>
      <c r="Z27" s="42">
        <f>-Operational!M78</f>
        <v>493100</v>
      </c>
      <c r="AA27" s="42">
        <f>-Operational!N78</f>
        <v>669350</v>
      </c>
      <c r="AB27" s="42">
        <f>-Operational!O78</f>
        <v>876820</v>
      </c>
      <c r="AC27" s="42">
        <f>-Operational!P78</f>
        <v>1376580</v>
      </c>
      <c r="AD27" s="42">
        <f>-Operational!Q78</f>
        <v>1874770</v>
      </c>
      <c r="AE27" s="42">
        <f>-Operational!R78</f>
        <v>2399100</v>
      </c>
      <c r="AF27" s="42">
        <f>-Operational!S78</f>
        <v>2985600</v>
      </c>
      <c r="AG27" s="42">
        <f>-Operational!T78</f>
        <v>3608040</v>
      </c>
      <c r="AH27" s="42">
        <f>-Operational!U78</f>
        <v>4290500</v>
      </c>
      <c r="AI27" s="42">
        <f>-Operational!V78</f>
        <v>5086220</v>
      </c>
      <c r="AJ27" s="42">
        <f>-Operational!W78</f>
        <v>5976320</v>
      </c>
      <c r="AK27" s="42">
        <f>-Operational!X78</f>
        <v>6990670</v>
      </c>
      <c r="AL27" s="42">
        <f>-Operational!Y78</f>
        <v>8181900</v>
      </c>
    </row>
    <row r="28" spans="1:38" ht="10.5" customHeight="1" x14ac:dyDescent="0.65">
      <c r="B28" s="6" t="s">
        <v>31</v>
      </c>
      <c r="C28" s="7">
        <v>0</v>
      </c>
      <c r="D28" s="7">
        <v>511.7</v>
      </c>
      <c r="E28" s="7">
        <v>5363.92</v>
      </c>
      <c r="F28" s="7">
        <v>767.55</v>
      </c>
      <c r="G28" s="7">
        <v>1045.8699999999999</v>
      </c>
      <c r="H28" s="7">
        <v>1126.3399999999999</v>
      </c>
      <c r="I28" s="7">
        <v>1947.54</v>
      </c>
      <c r="J28" s="7">
        <v>5122.67</v>
      </c>
      <c r="K28" s="7">
        <v>2596.7199999999998</v>
      </c>
      <c r="L28" s="7">
        <v>4662.32</v>
      </c>
      <c r="M28" s="7">
        <v>5363.92</v>
      </c>
      <c r="N28" s="7">
        <v>6606.82</v>
      </c>
      <c r="O28" s="7">
        <v>2408.12</v>
      </c>
      <c r="P28" s="7">
        <v>2867.86</v>
      </c>
      <c r="Q28" s="7">
        <v>2382.7600000000002</v>
      </c>
      <c r="R28" s="7">
        <v>1895.24</v>
      </c>
      <c r="S28" s="42">
        <f>-Operational!F79</f>
        <v>2778.5227135361856</v>
      </c>
      <c r="T28" s="42">
        <f>-Operational!G79</f>
        <v>2474.5229826133505</v>
      </c>
      <c r="U28" s="42">
        <f>-Operational!H79</f>
        <v>2459.2964251558201</v>
      </c>
      <c r="V28" s="42">
        <f>-Operational!I79</f>
        <v>2973.5767110515571</v>
      </c>
      <c r="W28" s="42">
        <f>-Operational!J79</f>
        <v>3285.1033972118998</v>
      </c>
      <c r="X28" s="42">
        <f>-Operational!K79</f>
        <v>3822.7210034655309</v>
      </c>
      <c r="Y28" s="42">
        <f>-Operational!L79</f>
        <v>4177.8750475602701</v>
      </c>
      <c r="Z28" s="42">
        <f>-Operational!M79</f>
        <v>7547.3509764100854</v>
      </c>
      <c r="AA28" s="42">
        <f>-Operational!N79</f>
        <v>10273.748097095722</v>
      </c>
      <c r="AB28" s="42">
        <f>-Operational!O79</f>
        <v>13436.666474383415</v>
      </c>
      <c r="AC28" s="42">
        <f>-Operational!P79</f>
        <v>21083.18308917492</v>
      </c>
      <c r="AD28" s="42">
        <f>-Operational!Q79</f>
        <v>28728.369672183184</v>
      </c>
      <c r="AE28" s="42">
        <f>-Operational!R79</f>
        <v>36773.681065013283</v>
      </c>
      <c r="AF28" s="42">
        <f>-Operational!S79</f>
        <v>45748.149298973236</v>
      </c>
      <c r="AG28" s="42">
        <f>-Operational!T79</f>
        <v>55284.508797214374</v>
      </c>
      <c r="AH28" s="42">
        <f>-Operational!U79</f>
        <v>65749.03008747178</v>
      </c>
      <c r="AI28" s="42">
        <f>-Operational!V79</f>
        <v>77943.732707452116</v>
      </c>
      <c r="AJ28" s="42">
        <f>-Operational!W79</f>
        <v>91578.64741493082</v>
      </c>
      <c r="AK28" s="42">
        <f>-Operational!X79</f>
        <v>107123.26498356104</v>
      </c>
      <c r="AL28" s="42">
        <f>-Operational!Y79</f>
        <v>125379.74677027781</v>
      </c>
    </row>
    <row r="29" spans="1:38" ht="10.5" customHeight="1" x14ac:dyDescent="0.65">
      <c r="B29" s="8" t="s">
        <v>32</v>
      </c>
      <c r="C29" s="9">
        <f t="shared" ref="C29:S29" si="26">SUM(C26:C28)</f>
        <v>0</v>
      </c>
      <c r="D29" s="9">
        <f t="shared" si="26"/>
        <v>57538.92</v>
      </c>
      <c r="E29" s="9">
        <f t="shared" si="26"/>
        <v>177114.22</v>
      </c>
      <c r="F29" s="9">
        <f t="shared" si="26"/>
        <v>93135.81</v>
      </c>
      <c r="G29" s="9">
        <f t="shared" si="26"/>
        <v>75884.42</v>
      </c>
      <c r="H29" s="9">
        <f t="shared" si="26"/>
        <v>73962.13</v>
      </c>
      <c r="I29" s="9">
        <f t="shared" si="26"/>
        <v>124411.87999999999</v>
      </c>
      <c r="J29" s="9">
        <f t="shared" si="26"/>
        <v>147845.47</v>
      </c>
      <c r="K29" s="9">
        <f t="shared" si="26"/>
        <v>151076.06</v>
      </c>
      <c r="L29" s="9">
        <f t="shared" si="26"/>
        <v>153830.49000000002</v>
      </c>
      <c r="M29" s="9">
        <f t="shared" si="26"/>
        <v>177114.22</v>
      </c>
      <c r="N29" s="9">
        <f t="shared" si="26"/>
        <v>213579.05000000002</v>
      </c>
      <c r="O29" s="9">
        <f t="shared" si="26"/>
        <v>212585.87</v>
      </c>
      <c r="P29" s="9">
        <f t="shared" si="26"/>
        <v>208658.13</v>
      </c>
      <c r="Q29" s="9">
        <f t="shared" si="26"/>
        <v>180544.35</v>
      </c>
      <c r="R29" s="9">
        <f t="shared" si="26"/>
        <v>199639.45999999996</v>
      </c>
      <c r="S29" s="9">
        <f t="shared" si="26"/>
        <v>231413.58873763258</v>
      </c>
      <c r="T29" s="9">
        <f t="shared" ref="T29:AL29" si="27">SUM(T26:T28)</f>
        <v>207872.12085871957</v>
      </c>
      <c r="U29" s="9">
        <f t="shared" si="27"/>
        <v>204792.01071087012</v>
      </c>
      <c r="V29" s="9">
        <f t="shared" si="27"/>
        <v>238749.57671105154</v>
      </c>
      <c r="W29" s="9">
        <f t="shared" si="27"/>
        <v>258489.1033972119</v>
      </c>
      <c r="X29" s="9">
        <f t="shared" si="27"/>
        <v>302490.72100346553</v>
      </c>
      <c r="Y29" s="9">
        <f t="shared" si="27"/>
        <v>332209.87504756026</v>
      </c>
      <c r="Z29" s="9">
        <f t="shared" si="27"/>
        <v>599267.35097641009</v>
      </c>
      <c r="AA29" s="9">
        <f t="shared" si="27"/>
        <v>813493.74809709575</v>
      </c>
      <c r="AB29" s="9">
        <f t="shared" si="27"/>
        <v>1065620.6664743833</v>
      </c>
      <c r="AC29" s="9">
        <f t="shared" si="27"/>
        <v>1672979.183089175</v>
      </c>
      <c r="AD29" s="9">
        <f t="shared" si="27"/>
        <v>2278452.3696721834</v>
      </c>
      <c r="AE29" s="9">
        <f t="shared" si="27"/>
        <v>2915693.6810650132</v>
      </c>
      <c r="AF29" s="9">
        <f t="shared" si="27"/>
        <v>3628468.1492989734</v>
      </c>
      <c r="AG29" s="9">
        <f t="shared" si="27"/>
        <v>4384932.5087972144</v>
      </c>
      <c r="AH29" s="9">
        <f t="shared" si="27"/>
        <v>5214349.0300874719</v>
      </c>
      <c r="AI29" s="9">
        <f t="shared" si="27"/>
        <v>6181407.732707452</v>
      </c>
      <c r="AJ29" s="9">
        <f t="shared" si="27"/>
        <v>7263162.6474149311</v>
      </c>
      <c r="AK29" s="9">
        <f t="shared" si="27"/>
        <v>8495927.2649835609</v>
      </c>
      <c r="AL29" s="9">
        <f t="shared" si="27"/>
        <v>9943659.7467702776</v>
      </c>
    </row>
    <row r="30" spans="1:38" ht="10.5" customHeight="1" x14ac:dyDescent="0.65">
      <c r="B30" s="6" t="s">
        <v>33</v>
      </c>
      <c r="C30" s="7">
        <v>0</v>
      </c>
      <c r="D30" s="7">
        <v>19441.53</v>
      </c>
      <c r="E30" s="7">
        <v>45002.9</v>
      </c>
      <c r="F30" s="7">
        <v>21459.29</v>
      </c>
      <c r="G30" s="7">
        <v>19133.990000000002</v>
      </c>
      <c r="H30" s="7">
        <v>40498.36</v>
      </c>
      <c r="I30" s="7">
        <v>31940.69</v>
      </c>
      <c r="J30" s="7">
        <v>29827.59</v>
      </c>
      <c r="K30" s="7">
        <v>22034.959999999999</v>
      </c>
      <c r="L30" s="7">
        <v>35054.910000000003</v>
      </c>
      <c r="M30" s="7">
        <v>45002.9</v>
      </c>
      <c r="N30" s="7">
        <v>42598.49</v>
      </c>
      <c r="O30" s="7">
        <v>52239.92</v>
      </c>
      <c r="P30" s="7">
        <v>95322.84</v>
      </c>
      <c r="Q30" s="7">
        <v>68847.240000000005</v>
      </c>
      <c r="R30" s="7">
        <v>77411.03</v>
      </c>
      <c r="S30" s="42">
        <f>-Operational!F80</f>
        <v>97864.43981205282</v>
      </c>
      <c r="T30" s="42">
        <f>-Operational!G80</f>
        <v>73141.717009560394</v>
      </c>
      <c r="U30" s="42">
        <f>-Operational!H80</f>
        <v>80701.713348715653</v>
      </c>
      <c r="V30" s="42">
        <f>-Operational!I80</f>
        <v>104577.07028119665</v>
      </c>
      <c r="W30" s="42">
        <f>-Operational!J80</f>
        <v>97250.917072231736</v>
      </c>
      <c r="X30" s="42">
        <f>-Operational!K80</f>
        <v>126149.47981289207</v>
      </c>
      <c r="Y30" s="42">
        <f>-Operational!L80</f>
        <v>117020.51322713718</v>
      </c>
      <c r="Z30" s="42">
        <f>-Operational!M80</f>
        <v>319100.19783875236</v>
      </c>
      <c r="AA30" s="42">
        <f>-Operational!N80</f>
        <v>355813.1377349805</v>
      </c>
      <c r="AB30" s="42">
        <f>-Operational!O80</f>
        <v>443195.9044882881</v>
      </c>
      <c r="AC30" s="42">
        <f>-Operational!P80</f>
        <v>711291.31352397031</v>
      </c>
      <c r="AD30" s="42">
        <f>-Operational!Q80</f>
        <v>879875.29949220805</v>
      </c>
      <c r="AE30" s="42">
        <f>-Operational!R80</f>
        <v>1063274.316659807</v>
      </c>
      <c r="AF30" s="42">
        <f>-Operational!S80</f>
        <v>1291225.0358038512</v>
      </c>
      <c r="AG30" s="42">
        <f>-Operational!T80</f>
        <v>1510183.1084790754</v>
      </c>
      <c r="AH30" s="42">
        <f>-Operational!U80</f>
        <v>1763092.5267008054</v>
      </c>
      <c r="AI30" s="42">
        <f>-Operational!V80</f>
        <v>2088896.0701574101</v>
      </c>
      <c r="AJ30" s="42">
        <f>-Operational!W80</f>
        <v>2427443.6321524894</v>
      </c>
      <c r="AK30" s="42">
        <f>-Operational!X80</f>
        <v>2823565.2808545548</v>
      </c>
      <c r="AL30" s="42">
        <f>-Operational!Y80</f>
        <v>3308805.0901741795</v>
      </c>
    </row>
    <row r="31" spans="1:38" ht="10.5" customHeight="1" x14ac:dyDescent="0.65">
      <c r="A31" s="8" t="s">
        <v>34</v>
      </c>
      <c r="C31" s="9">
        <f t="shared" ref="C31:S31" si="28">(SUM(C24,C30) + C29)</f>
        <v>0</v>
      </c>
      <c r="D31" s="9">
        <f t="shared" si="28"/>
        <v>85545.209999999992</v>
      </c>
      <c r="E31" s="9">
        <f t="shared" si="28"/>
        <v>250518.37</v>
      </c>
      <c r="F31" s="9">
        <f t="shared" si="28"/>
        <v>124936</v>
      </c>
      <c r="G31" s="9">
        <f t="shared" si="28"/>
        <v>103103.4</v>
      </c>
      <c r="H31" s="9">
        <f t="shared" si="28"/>
        <v>116161.39000000001</v>
      </c>
      <c r="I31" s="9">
        <f t="shared" si="28"/>
        <v>158965.57</v>
      </c>
      <c r="J31" s="9">
        <f t="shared" si="28"/>
        <v>182456.91</v>
      </c>
      <c r="K31" s="9">
        <f t="shared" si="28"/>
        <v>181763.5</v>
      </c>
      <c r="L31" s="9">
        <f t="shared" si="28"/>
        <v>204311.65000000002</v>
      </c>
      <c r="M31" s="9">
        <f t="shared" si="28"/>
        <v>250518.37</v>
      </c>
      <c r="N31" s="9">
        <f t="shared" si="28"/>
        <v>267322.19</v>
      </c>
      <c r="O31" s="9">
        <f t="shared" si="28"/>
        <v>266330.77999999997</v>
      </c>
      <c r="P31" s="9">
        <f t="shared" si="28"/>
        <v>313683.28000000003</v>
      </c>
      <c r="Q31" s="9">
        <f t="shared" si="28"/>
        <v>264239.24</v>
      </c>
      <c r="R31" s="9">
        <f t="shared" si="28"/>
        <v>287094.43999999994</v>
      </c>
      <c r="S31" s="9">
        <f t="shared" si="28"/>
        <v>344909.02854968538</v>
      </c>
      <c r="T31" s="9">
        <f t="shared" ref="T31:AL31" si="29">(SUM(T24,T30) + T29)</f>
        <v>298207.93786827999</v>
      </c>
      <c r="U31" s="9">
        <f t="shared" si="29"/>
        <v>305266.9390595858</v>
      </c>
      <c r="V31" s="9">
        <f t="shared" si="29"/>
        <v>367054.5049922482</v>
      </c>
      <c r="W31" s="9">
        <f t="shared" si="29"/>
        <v>385399.84296944365</v>
      </c>
      <c r="X31" s="9">
        <f t="shared" si="29"/>
        <v>465714.97894135758</v>
      </c>
      <c r="Y31" s="9">
        <f t="shared" si="29"/>
        <v>495573.86093094747</v>
      </c>
      <c r="Z31" s="9">
        <f t="shared" si="29"/>
        <v>976296.88963547489</v>
      </c>
      <c r="AA31" s="9">
        <f t="shared" si="29"/>
        <v>1241718.5618574668</v>
      </c>
      <c r="AB31" s="9">
        <f t="shared" si="29"/>
        <v>1599331.1659944097</v>
      </c>
      <c r="AC31" s="9">
        <f t="shared" si="29"/>
        <v>2497413.7404028182</v>
      </c>
      <c r="AD31" s="9">
        <f t="shared" si="29"/>
        <v>3299756.7239014823</v>
      </c>
      <c r="AE31" s="9">
        <f t="shared" si="29"/>
        <v>4155754.3161461838</v>
      </c>
      <c r="AF31" s="9">
        <f t="shared" si="29"/>
        <v>5140676.0831295289</v>
      </c>
      <c r="AG31" s="9">
        <f t="shared" si="29"/>
        <v>6171344.2398096705</v>
      </c>
      <c r="AH31" s="9">
        <f t="shared" si="29"/>
        <v>7322727.3349550031</v>
      </c>
      <c r="AI31" s="9">
        <f t="shared" si="29"/>
        <v>8701911.0255732704</v>
      </c>
      <c r="AJ31" s="9">
        <f t="shared" si="29"/>
        <v>10230115.307952929</v>
      </c>
      <c r="AK31" s="9">
        <f t="shared" si="29"/>
        <v>11993878.831320003</v>
      </c>
      <c r="AL31" s="9">
        <f t="shared" si="29"/>
        <v>14095447.693796817</v>
      </c>
    </row>
    <row r="32" spans="1:38" ht="13.4" customHeight="1" x14ac:dyDescent="0.65"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</row>
    <row r="33" spans="1:38" ht="10.5" customHeight="1" x14ac:dyDescent="0.65">
      <c r="B33" s="10" t="s">
        <v>35</v>
      </c>
      <c r="C33" s="11">
        <f t="shared" ref="C33:AL33" si="30">((C21 + 0) - (0 + C31))</f>
        <v>0</v>
      </c>
      <c r="D33" s="11">
        <f t="shared" si="30"/>
        <v>-86056.62999999999</v>
      </c>
      <c r="E33" s="11">
        <f t="shared" si="30"/>
        <v>-236999.61</v>
      </c>
      <c r="F33" s="11">
        <f t="shared" si="30"/>
        <v>-113893.55</v>
      </c>
      <c r="G33" s="11">
        <f t="shared" si="30"/>
        <v>-102853.01</v>
      </c>
      <c r="H33" s="11">
        <f t="shared" si="30"/>
        <v>-106810.32</v>
      </c>
      <c r="I33" s="11">
        <f t="shared" si="30"/>
        <v>-152675.17000000001</v>
      </c>
      <c r="J33" s="11">
        <f t="shared" si="30"/>
        <v>-168063.48</v>
      </c>
      <c r="K33" s="11">
        <f t="shared" si="30"/>
        <v>-134068.31000000003</v>
      </c>
      <c r="L33" s="11">
        <f t="shared" si="30"/>
        <v>-166890.72000000003</v>
      </c>
      <c r="M33" s="11">
        <f t="shared" si="30"/>
        <v>-236999.61</v>
      </c>
      <c r="N33" s="11">
        <f t="shared" si="30"/>
        <v>-261147.33000000002</v>
      </c>
      <c r="O33" s="11">
        <f t="shared" si="30"/>
        <v>-241222.90999999997</v>
      </c>
      <c r="P33" s="11">
        <f t="shared" si="30"/>
        <v>-300909.46000000002</v>
      </c>
      <c r="Q33" s="11">
        <f t="shared" si="30"/>
        <v>-217242.9</v>
      </c>
      <c r="R33" s="11">
        <f t="shared" si="30"/>
        <v>-240279.06999999995</v>
      </c>
      <c r="S33" s="11">
        <f t="shared" si="30"/>
        <v>-237528.38095932393</v>
      </c>
      <c r="T33" s="11">
        <f t="shared" si="30"/>
        <v>-126237.58609836845</v>
      </c>
      <c r="U33" s="11">
        <f t="shared" si="30"/>
        <v>-170346.83548815723</v>
      </c>
      <c r="V33" s="11">
        <f t="shared" si="30"/>
        <v>-174552.84499224817</v>
      </c>
      <c r="W33" s="11">
        <f t="shared" si="30"/>
        <v>-111578.53046944365</v>
      </c>
      <c r="X33" s="11">
        <f t="shared" si="30"/>
        <v>-152700.48081635754</v>
      </c>
      <c r="Y33" s="11">
        <f t="shared" si="30"/>
        <v>-41568.665524697513</v>
      </c>
      <c r="Z33" s="11">
        <f t="shared" si="30"/>
        <v>-341485.02773060347</v>
      </c>
      <c r="AA33" s="11">
        <f t="shared" si="30"/>
        <v>-400068.77124108328</v>
      </c>
      <c r="AB33" s="11">
        <f t="shared" si="30"/>
        <v>-515144.68140040082</v>
      </c>
      <c r="AC33" s="11">
        <f t="shared" si="30"/>
        <v>119570.70725145796</v>
      </c>
      <c r="AD33" s="11">
        <f t="shared" si="30"/>
        <v>772974.1481663622</v>
      </c>
      <c r="AE33" s="11">
        <f t="shared" si="30"/>
        <v>1451836.0570268575</v>
      </c>
      <c r="AF33" s="11">
        <f t="shared" si="30"/>
        <v>2102912.6370132435</v>
      </c>
      <c r="AG33" s="11">
        <f t="shared" si="30"/>
        <v>2831539.8221334992</v>
      </c>
      <c r="AH33" s="11">
        <f t="shared" si="30"/>
        <v>3600276.1248269007</v>
      </c>
      <c r="AI33" s="11">
        <f t="shared" si="30"/>
        <v>4332905.6520952899</v>
      </c>
      <c r="AJ33" s="11">
        <f t="shared" si="30"/>
        <v>5162779.6751621813</v>
      </c>
      <c r="AK33" s="11">
        <f t="shared" si="30"/>
        <v>6061443.9416915253</v>
      </c>
      <c r="AL33" s="11">
        <f t="shared" si="30"/>
        <v>7007527.8496734761</v>
      </c>
    </row>
    <row r="34" spans="1:38" ht="13.4" customHeight="1" x14ac:dyDescent="0.65"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</row>
    <row r="35" spans="1:38" ht="10.5" customHeight="1" x14ac:dyDescent="0.65">
      <c r="B35" s="10" t="s">
        <v>36</v>
      </c>
      <c r="C35" s="11">
        <f t="shared" ref="C35:AL35" si="31">(C33 + 0)</f>
        <v>0</v>
      </c>
      <c r="D35" s="11">
        <f t="shared" si="31"/>
        <v>-86056.62999999999</v>
      </c>
      <c r="E35" s="11">
        <f t="shared" si="31"/>
        <v>-236999.61</v>
      </c>
      <c r="F35" s="11">
        <f t="shared" si="31"/>
        <v>-113893.55</v>
      </c>
      <c r="G35" s="11">
        <f t="shared" si="31"/>
        <v>-102853.01</v>
      </c>
      <c r="H35" s="11">
        <f t="shared" si="31"/>
        <v>-106810.32</v>
      </c>
      <c r="I35" s="11">
        <f t="shared" si="31"/>
        <v>-152675.17000000001</v>
      </c>
      <c r="J35" s="11">
        <f t="shared" si="31"/>
        <v>-168063.48</v>
      </c>
      <c r="K35" s="11">
        <f t="shared" si="31"/>
        <v>-134068.31000000003</v>
      </c>
      <c r="L35" s="11">
        <f t="shared" si="31"/>
        <v>-166890.72000000003</v>
      </c>
      <c r="M35" s="11">
        <f t="shared" si="31"/>
        <v>-236999.61</v>
      </c>
      <c r="N35" s="11">
        <f t="shared" si="31"/>
        <v>-261147.33000000002</v>
      </c>
      <c r="O35" s="11">
        <f t="shared" si="31"/>
        <v>-241222.90999999997</v>
      </c>
      <c r="P35" s="11">
        <f t="shared" si="31"/>
        <v>-300909.46000000002</v>
      </c>
      <c r="Q35" s="11">
        <f t="shared" si="31"/>
        <v>-217242.9</v>
      </c>
      <c r="R35" s="11">
        <f t="shared" si="31"/>
        <v>-240279.06999999995</v>
      </c>
      <c r="S35" s="11">
        <f t="shared" si="31"/>
        <v>-237528.38095932393</v>
      </c>
      <c r="T35" s="11">
        <f t="shared" si="31"/>
        <v>-126237.58609836845</v>
      </c>
      <c r="U35" s="11">
        <f t="shared" si="31"/>
        <v>-170346.83548815723</v>
      </c>
      <c r="V35" s="11">
        <f t="shared" si="31"/>
        <v>-174552.84499224817</v>
      </c>
      <c r="W35" s="11">
        <f t="shared" si="31"/>
        <v>-111578.53046944365</v>
      </c>
      <c r="X35" s="11">
        <f t="shared" si="31"/>
        <v>-152700.48081635754</v>
      </c>
      <c r="Y35" s="11">
        <f t="shared" si="31"/>
        <v>-41568.665524697513</v>
      </c>
      <c r="Z35" s="11">
        <f t="shared" si="31"/>
        <v>-341485.02773060347</v>
      </c>
      <c r="AA35" s="11">
        <f t="shared" si="31"/>
        <v>-400068.77124108328</v>
      </c>
      <c r="AB35" s="11">
        <f t="shared" si="31"/>
        <v>-515144.68140040082</v>
      </c>
      <c r="AC35" s="11">
        <f t="shared" si="31"/>
        <v>119570.70725145796</v>
      </c>
      <c r="AD35" s="11">
        <f t="shared" si="31"/>
        <v>772974.1481663622</v>
      </c>
      <c r="AE35" s="11">
        <f t="shared" si="31"/>
        <v>1451836.0570268575</v>
      </c>
      <c r="AF35" s="11">
        <f t="shared" si="31"/>
        <v>2102912.6370132435</v>
      </c>
      <c r="AG35" s="11">
        <f t="shared" si="31"/>
        <v>2831539.8221334992</v>
      </c>
      <c r="AH35" s="11">
        <f t="shared" si="31"/>
        <v>3600276.1248269007</v>
      </c>
      <c r="AI35" s="11">
        <f t="shared" si="31"/>
        <v>4332905.6520952899</v>
      </c>
      <c r="AJ35" s="11">
        <f t="shared" si="31"/>
        <v>5162779.6751621813</v>
      </c>
      <c r="AK35" s="11">
        <f t="shared" si="31"/>
        <v>6061443.9416915253</v>
      </c>
      <c r="AL35" s="11">
        <f t="shared" si="31"/>
        <v>7007527.8496734761</v>
      </c>
    </row>
    <row r="36" spans="1:38" ht="13.4" customHeight="1" x14ac:dyDescent="0.65"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</row>
    <row r="37" spans="1:38" ht="13" customHeight="1" x14ac:dyDescent="0.65">
      <c r="A37" s="35"/>
      <c r="B37" s="35" t="s">
        <v>37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</row>
    <row r="38" spans="1:38" ht="10.5" customHeight="1" x14ac:dyDescent="0.65">
      <c r="B38" s="4" t="s">
        <v>38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-14872.19</v>
      </c>
      <c r="J38" s="5">
        <v>0</v>
      </c>
      <c r="K38" s="5">
        <v>-72540.89</v>
      </c>
      <c r="L38" s="5">
        <v>0</v>
      </c>
      <c r="M38" s="5">
        <v>0</v>
      </c>
      <c r="N38" s="5">
        <v>0</v>
      </c>
      <c r="O38" s="5">
        <v>-124717.98</v>
      </c>
      <c r="P38" s="5">
        <v>0</v>
      </c>
      <c r="Q38" s="5">
        <v>0</v>
      </c>
      <c r="R38" s="5">
        <v>0</v>
      </c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</row>
    <row r="39" spans="1:38" ht="10.5" customHeight="1" x14ac:dyDescent="0.65">
      <c r="A39" s="8" t="s">
        <v>39</v>
      </c>
      <c r="C39" s="9">
        <f t="shared" ref="C39:R39" si="32">C38</f>
        <v>0</v>
      </c>
      <c r="D39" s="9">
        <f t="shared" si="32"/>
        <v>0</v>
      </c>
      <c r="E39" s="9">
        <f t="shared" si="32"/>
        <v>0</v>
      </c>
      <c r="F39" s="9">
        <f t="shared" si="32"/>
        <v>0</v>
      </c>
      <c r="G39" s="9">
        <f t="shared" si="32"/>
        <v>0</v>
      </c>
      <c r="H39" s="9">
        <f t="shared" si="32"/>
        <v>0</v>
      </c>
      <c r="I39" s="9">
        <f t="shared" si="32"/>
        <v>-14872.19</v>
      </c>
      <c r="J39" s="9">
        <f t="shared" si="32"/>
        <v>0</v>
      </c>
      <c r="K39" s="9">
        <f t="shared" si="32"/>
        <v>-72540.89</v>
      </c>
      <c r="L39" s="9">
        <f t="shared" si="32"/>
        <v>0</v>
      </c>
      <c r="M39" s="9">
        <f t="shared" si="32"/>
        <v>0</v>
      </c>
      <c r="N39" s="9">
        <f t="shared" si="32"/>
        <v>0</v>
      </c>
      <c r="O39" s="9">
        <f t="shared" si="32"/>
        <v>-124717.98</v>
      </c>
      <c r="P39" s="9">
        <f t="shared" si="32"/>
        <v>0</v>
      </c>
      <c r="Q39" s="9">
        <f t="shared" si="32"/>
        <v>0</v>
      </c>
      <c r="R39" s="9">
        <f t="shared" si="32"/>
        <v>0</v>
      </c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</row>
    <row r="40" spans="1:38" ht="13.4" customHeight="1" x14ac:dyDescent="0.65"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</row>
    <row r="41" spans="1:38" ht="10.5" customHeight="1" x14ac:dyDescent="0.65">
      <c r="B41" s="10" t="s">
        <v>40</v>
      </c>
      <c r="C41" s="11">
        <f t="shared" ref="C41:AL41" si="33">(C35 - C39)</f>
        <v>0</v>
      </c>
      <c r="D41" s="11">
        <f t="shared" si="33"/>
        <v>-86056.62999999999</v>
      </c>
      <c r="E41" s="11">
        <f t="shared" si="33"/>
        <v>-236999.61</v>
      </c>
      <c r="F41" s="11">
        <f t="shared" si="33"/>
        <v>-113893.55</v>
      </c>
      <c r="G41" s="11">
        <f t="shared" si="33"/>
        <v>-102853.01</v>
      </c>
      <c r="H41" s="11">
        <f t="shared" si="33"/>
        <v>-106810.32</v>
      </c>
      <c r="I41" s="11">
        <f t="shared" si="33"/>
        <v>-137802.98000000001</v>
      </c>
      <c r="J41" s="11">
        <f t="shared" si="33"/>
        <v>-168063.48</v>
      </c>
      <c r="K41" s="11">
        <f t="shared" si="33"/>
        <v>-61527.420000000027</v>
      </c>
      <c r="L41" s="11">
        <f t="shared" si="33"/>
        <v>-166890.72000000003</v>
      </c>
      <c r="M41" s="11">
        <f t="shared" si="33"/>
        <v>-236999.61</v>
      </c>
      <c r="N41" s="11">
        <f t="shared" si="33"/>
        <v>-261147.33000000002</v>
      </c>
      <c r="O41" s="11">
        <f t="shared" si="33"/>
        <v>-116504.92999999998</v>
      </c>
      <c r="P41" s="11">
        <f t="shared" si="33"/>
        <v>-300909.46000000002</v>
      </c>
      <c r="Q41" s="11">
        <f t="shared" si="33"/>
        <v>-217242.9</v>
      </c>
      <c r="R41" s="11">
        <f t="shared" si="33"/>
        <v>-240279.06999999995</v>
      </c>
      <c r="S41" s="11">
        <f t="shared" si="33"/>
        <v>-237528.38095932393</v>
      </c>
      <c r="T41" s="11">
        <f t="shared" si="33"/>
        <v>-126237.58609836845</v>
      </c>
      <c r="U41" s="11">
        <f t="shared" si="33"/>
        <v>-170346.83548815723</v>
      </c>
      <c r="V41" s="11">
        <f t="shared" si="33"/>
        <v>-174552.84499224817</v>
      </c>
      <c r="W41" s="11">
        <f t="shared" si="33"/>
        <v>-111578.53046944365</v>
      </c>
      <c r="X41" s="11">
        <f t="shared" si="33"/>
        <v>-152700.48081635754</v>
      </c>
      <c r="Y41" s="11">
        <f t="shared" si="33"/>
        <v>-41568.665524697513</v>
      </c>
      <c r="Z41" s="11">
        <f t="shared" si="33"/>
        <v>-341485.02773060347</v>
      </c>
      <c r="AA41" s="11">
        <f t="shared" si="33"/>
        <v>-400068.77124108328</v>
      </c>
      <c r="AB41" s="11">
        <f t="shared" si="33"/>
        <v>-515144.68140040082</v>
      </c>
      <c r="AC41" s="11">
        <f t="shared" si="33"/>
        <v>119570.70725145796</v>
      </c>
      <c r="AD41" s="11">
        <f t="shared" si="33"/>
        <v>772974.1481663622</v>
      </c>
      <c r="AE41" s="11">
        <f t="shared" si="33"/>
        <v>1451836.0570268575</v>
      </c>
      <c r="AF41" s="11">
        <f t="shared" si="33"/>
        <v>2102912.6370132435</v>
      </c>
      <c r="AG41" s="11">
        <f t="shared" si="33"/>
        <v>2831539.8221334992</v>
      </c>
      <c r="AH41" s="11">
        <f t="shared" si="33"/>
        <v>3600276.1248269007</v>
      </c>
      <c r="AI41" s="11">
        <f t="shared" si="33"/>
        <v>4332905.6520952899</v>
      </c>
      <c r="AJ41" s="11">
        <f t="shared" si="33"/>
        <v>5162779.6751621813</v>
      </c>
      <c r="AK41" s="11">
        <f t="shared" si="33"/>
        <v>6061443.9416915253</v>
      </c>
      <c r="AL41" s="11">
        <f t="shared" si="33"/>
        <v>7007527.8496734761</v>
      </c>
    </row>
    <row r="42" spans="1:38" ht="13.4" customHeight="1" x14ac:dyDescent="0.65"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</row>
    <row r="43" spans="1:38" ht="10.5" customHeight="1" x14ac:dyDescent="0.65">
      <c r="A43" s="1"/>
      <c r="B43" s="2" t="s">
        <v>1</v>
      </c>
      <c r="C43" s="3" t="s">
        <v>2</v>
      </c>
      <c r="D43" s="3" t="s">
        <v>3</v>
      </c>
      <c r="E43" s="3" t="s">
        <v>4</v>
      </c>
      <c r="F43" s="3" t="s">
        <v>5</v>
      </c>
      <c r="G43" s="3" t="s">
        <v>6</v>
      </c>
      <c r="H43" s="3" t="s">
        <v>7</v>
      </c>
      <c r="I43" s="3" t="s">
        <v>8</v>
      </c>
      <c r="J43" s="3" t="s">
        <v>9</v>
      </c>
      <c r="K43" s="3" t="s">
        <v>10</v>
      </c>
      <c r="L43" s="3" t="s">
        <v>11</v>
      </c>
      <c r="M43" s="3" t="s">
        <v>4</v>
      </c>
      <c r="N43" s="3" t="s">
        <v>12</v>
      </c>
      <c r="O43" s="3" t="s">
        <v>13</v>
      </c>
      <c r="P43" s="3" t="s">
        <v>14</v>
      </c>
      <c r="Q43" s="3" t="s">
        <v>15</v>
      </c>
      <c r="R43" s="3" t="s">
        <v>16</v>
      </c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</row>
    <row r="44" spans="1:38" ht="13.4" customHeight="1" x14ac:dyDescent="0.65"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</row>
    <row r="45" spans="1:38" ht="13" customHeight="1" x14ac:dyDescent="0.65">
      <c r="A45" s="87" t="s">
        <v>277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</row>
    <row r="46" spans="1:38" ht="10.5" customHeight="1" x14ac:dyDescent="0.65">
      <c r="B46" s="4" t="s">
        <v>18</v>
      </c>
      <c r="C46" s="5">
        <v>0</v>
      </c>
      <c r="D46" s="5">
        <v>9500</v>
      </c>
      <c r="E46" s="5">
        <v>48701.67</v>
      </c>
      <c r="F46" s="5">
        <v>127326.48</v>
      </c>
      <c r="G46" s="5">
        <v>17362</v>
      </c>
      <c r="H46" s="5">
        <v>75456.25</v>
      </c>
      <c r="I46" s="5">
        <v>56415.38</v>
      </c>
      <c r="J46" s="5">
        <v>106434.5</v>
      </c>
      <c r="K46" s="5">
        <v>266115</v>
      </c>
      <c r="L46" s="5">
        <v>203403.3</v>
      </c>
      <c r="M46" s="5">
        <v>48701.67</v>
      </c>
      <c r="N46" s="5">
        <v>89138.3</v>
      </c>
      <c r="O46" s="5">
        <v>112127.84</v>
      </c>
      <c r="P46" s="5">
        <v>88199.25</v>
      </c>
      <c r="Q46" s="5">
        <v>178778.5</v>
      </c>
      <c r="R46" s="5">
        <v>149737.54999999999</v>
      </c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</row>
    <row r="47" spans="1:38" ht="10.5" customHeight="1" x14ac:dyDescent="0.65">
      <c r="B47" s="6" t="s">
        <v>270</v>
      </c>
      <c r="C47" s="7">
        <v>0</v>
      </c>
      <c r="D47" s="7">
        <v>-9975</v>
      </c>
      <c r="E47" s="7">
        <v>-33068</v>
      </c>
      <c r="F47" s="7">
        <v>-114935.45</v>
      </c>
      <c r="G47" s="7">
        <v>-13580</v>
      </c>
      <c r="H47" s="7">
        <v>-63640</v>
      </c>
      <c r="I47" s="7">
        <v>-44434.5</v>
      </c>
      <c r="J47" s="7">
        <v>-86570.25</v>
      </c>
      <c r="K47" s="7">
        <v>-216804.17</v>
      </c>
      <c r="L47" s="7">
        <v>-163641.5</v>
      </c>
      <c r="M47" s="7">
        <v>-33068</v>
      </c>
      <c r="N47" s="7">
        <v>-69970</v>
      </c>
      <c r="O47" s="7">
        <v>-86672.62</v>
      </c>
      <c r="P47" s="7">
        <v>-72232.5</v>
      </c>
      <c r="Q47" s="7">
        <v>-124762.5</v>
      </c>
      <c r="R47" s="7">
        <v>-96788</v>
      </c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</row>
    <row r="48" spans="1:38" ht="10.5" customHeight="1" x14ac:dyDescent="0.65">
      <c r="A48" s="8" t="s">
        <v>278</v>
      </c>
      <c r="C48" s="9">
        <f t="shared" ref="C48:R48" si="34">SUM(C46:C47)</f>
        <v>0</v>
      </c>
      <c r="D48" s="9">
        <f t="shared" si="34"/>
        <v>-475</v>
      </c>
      <c r="E48" s="9">
        <f t="shared" si="34"/>
        <v>15633.669999999998</v>
      </c>
      <c r="F48" s="9">
        <f t="shared" si="34"/>
        <v>12391.029999999999</v>
      </c>
      <c r="G48" s="9">
        <f t="shared" si="34"/>
        <v>3782</v>
      </c>
      <c r="H48" s="9">
        <f t="shared" si="34"/>
        <v>11816.25</v>
      </c>
      <c r="I48" s="9">
        <f t="shared" si="34"/>
        <v>11980.879999999997</v>
      </c>
      <c r="J48" s="9">
        <f t="shared" si="34"/>
        <v>19864.25</v>
      </c>
      <c r="K48" s="9">
        <f t="shared" si="34"/>
        <v>49310.829999999987</v>
      </c>
      <c r="L48" s="9">
        <f t="shared" si="34"/>
        <v>39761.799999999988</v>
      </c>
      <c r="M48" s="9">
        <f t="shared" si="34"/>
        <v>15633.669999999998</v>
      </c>
      <c r="N48" s="9">
        <f t="shared" si="34"/>
        <v>19168.300000000003</v>
      </c>
      <c r="O48" s="9">
        <f t="shared" si="34"/>
        <v>25455.22</v>
      </c>
      <c r="P48" s="9">
        <f t="shared" si="34"/>
        <v>15966.75</v>
      </c>
      <c r="Q48" s="9">
        <f t="shared" si="34"/>
        <v>54016</v>
      </c>
      <c r="R48" s="9">
        <f t="shared" si="34"/>
        <v>52949.549999999988</v>
      </c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</row>
    <row r="49" spans="1:38" ht="13.4" customHeight="1" x14ac:dyDescent="0.65"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</row>
    <row r="50" spans="1:38" ht="10.5" customHeight="1" x14ac:dyDescent="0.65">
      <c r="A50" s="1"/>
      <c r="B50" s="2" t="s">
        <v>1</v>
      </c>
      <c r="C50" s="3" t="s">
        <v>2</v>
      </c>
      <c r="D50" s="3" t="s">
        <v>3</v>
      </c>
      <c r="E50" s="3" t="s">
        <v>4</v>
      </c>
      <c r="F50" s="3" t="s">
        <v>5</v>
      </c>
      <c r="G50" s="3" t="s">
        <v>6</v>
      </c>
      <c r="H50" s="3" t="s">
        <v>7</v>
      </c>
      <c r="I50" s="3" t="s">
        <v>8</v>
      </c>
      <c r="J50" s="3" t="s">
        <v>9</v>
      </c>
      <c r="K50" s="3" t="s">
        <v>10</v>
      </c>
      <c r="L50" s="3" t="s">
        <v>11</v>
      </c>
      <c r="M50" s="3" t="s">
        <v>4</v>
      </c>
      <c r="N50" s="3" t="s">
        <v>12</v>
      </c>
      <c r="O50" s="3" t="s">
        <v>13</v>
      </c>
      <c r="P50" s="3" t="s">
        <v>14</v>
      </c>
      <c r="Q50" s="3" t="s">
        <v>15</v>
      </c>
      <c r="R50" s="3" t="s">
        <v>16</v>
      </c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</row>
    <row r="51" spans="1:38" ht="13.4" customHeight="1" x14ac:dyDescent="0.65"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ht="13" customHeight="1" x14ac:dyDescent="0.65">
      <c r="A52" s="87" t="s">
        <v>41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</row>
    <row r="53" spans="1:38" ht="10.5" customHeight="1" x14ac:dyDescent="0.65">
      <c r="B53" s="4" t="s">
        <v>19</v>
      </c>
      <c r="C53" s="5">
        <v>0</v>
      </c>
      <c r="D53" s="5">
        <v>0</v>
      </c>
      <c r="E53" s="5">
        <v>10871.08</v>
      </c>
      <c r="F53" s="5">
        <v>0</v>
      </c>
      <c r="G53" s="5">
        <v>0</v>
      </c>
      <c r="H53" s="5">
        <v>200</v>
      </c>
      <c r="I53" s="5">
        <v>1000</v>
      </c>
      <c r="J53" s="5">
        <v>250</v>
      </c>
      <c r="K53" s="5">
        <v>3706</v>
      </c>
      <c r="L53" s="5">
        <v>6501.5</v>
      </c>
      <c r="M53" s="5">
        <v>10871.08</v>
      </c>
      <c r="N53" s="5">
        <v>3965.75</v>
      </c>
      <c r="O53" s="5">
        <v>8451.7800000000007</v>
      </c>
      <c r="P53" s="5">
        <v>5223.0600000000004</v>
      </c>
      <c r="Q53" s="5">
        <v>10010.5</v>
      </c>
      <c r="R53" s="5">
        <v>9421.9500000000007</v>
      </c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</row>
    <row r="54" spans="1:38" ht="10.5" customHeight="1" x14ac:dyDescent="0.65">
      <c r="B54" s="6" t="s">
        <v>271</v>
      </c>
      <c r="C54" s="7">
        <v>0</v>
      </c>
      <c r="D54" s="7">
        <v>0</v>
      </c>
      <c r="E54" s="7">
        <v>-7870.58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-4740</v>
      </c>
      <c r="M54" s="7">
        <v>-7870.58</v>
      </c>
      <c r="N54" s="7">
        <v>-2575</v>
      </c>
      <c r="O54" s="7">
        <v>-5838.33</v>
      </c>
      <c r="P54" s="7">
        <v>-3707.2</v>
      </c>
      <c r="Q54" s="7">
        <v>-8670.73</v>
      </c>
      <c r="R54" s="7">
        <v>-7214.02</v>
      </c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</row>
    <row r="55" spans="1:38" ht="10.5" customHeight="1" x14ac:dyDescent="0.65">
      <c r="A55" s="8" t="s">
        <v>42</v>
      </c>
      <c r="C55" s="9">
        <f t="shared" ref="C55:R55" si="35">SUM(C53:C54)</f>
        <v>0</v>
      </c>
      <c r="D55" s="9">
        <f t="shared" si="35"/>
        <v>0</v>
      </c>
      <c r="E55" s="9">
        <f t="shared" si="35"/>
        <v>3000.5</v>
      </c>
      <c r="F55" s="9">
        <f t="shared" si="35"/>
        <v>0</v>
      </c>
      <c r="G55" s="9">
        <f t="shared" si="35"/>
        <v>0</v>
      </c>
      <c r="H55" s="9">
        <f t="shared" si="35"/>
        <v>200</v>
      </c>
      <c r="I55" s="9">
        <f t="shared" si="35"/>
        <v>1000</v>
      </c>
      <c r="J55" s="9">
        <f t="shared" si="35"/>
        <v>250</v>
      </c>
      <c r="K55" s="9">
        <f t="shared" si="35"/>
        <v>3706</v>
      </c>
      <c r="L55" s="9">
        <f t="shared" si="35"/>
        <v>1761.5</v>
      </c>
      <c r="M55" s="9">
        <f t="shared" si="35"/>
        <v>3000.5</v>
      </c>
      <c r="N55" s="9">
        <f t="shared" si="35"/>
        <v>1390.75</v>
      </c>
      <c r="O55" s="9">
        <f t="shared" si="35"/>
        <v>2613.4500000000007</v>
      </c>
      <c r="P55" s="9">
        <f t="shared" si="35"/>
        <v>1515.8600000000006</v>
      </c>
      <c r="Q55" s="9">
        <f t="shared" si="35"/>
        <v>1339.7700000000004</v>
      </c>
      <c r="R55" s="9">
        <f t="shared" si="35"/>
        <v>2207.9300000000003</v>
      </c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</row>
  </sheetData>
  <mergeCells count="7">
    <mergeCell ref="A52:R52"/>
    <mergeCell ref="A45:R45"/>
    <mergeCell ref="A1:R1"/>
    <mergeCell ref="A2:R2"/>
    <mergeCell ref="A3:R3"/>
    <mergeCell ref="A23:R23"/>
    <mergeCell ref="B25:R25"/>
  </mergeCells>
  <pageMargins left="0.7" right="0.7" top="0.75" bottom="0.75" header="0.3" footer="0.3"/>
  <pageSetup paperSize="9" scale="79" fitToWidth="0" fitToHeight="0" orientation="landscape" horizontalDpi="300" verticalDpi="300" r:id="rId1"/>
  <colBreaks count="1" manualBreakCount="1">
    <brk id="21" max="5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18B34-190E-4101-871F-9A574E889BC6}">
  <sheetPr>
    <tabColor theme="9" tint="0.79998168889431442"/>
  </sheetPr>
  <dimension ref="A1:AK51"/>
  <sheetViews>
    <sheetView showGridLines="0" zoomScale="85" zoomScaleNormal="85" workbookViewId="0"/>
  </sheetViews>
  <sheetFormatPr defaultRowHeight="14.25" x14ac:dyDescent="0.65"/>
  <cols>
    <col min="1" max="1" width="43.9140625" customWidth="1"/>
    <col min="2" max="2" width="9.58203125" customWidth="1"/>
    <col min="3" max="3" width="9.5" customWidth="1"/>
    <col min="4" max="4" width="9.58203125" customWidth="1"/>
    <col min="5" max="5" width="9.5" customWidth="1"/>
    <col min="6" max="6" width="9.58203125" customWidth="1"/>
    <col min="7" max="7" width="9.5" customWidth="1"/>
    <col min="8" max="8" width="9.58203125" customWidth="1"/>
    <col min="9" max="9" width="9.5" customWidth="1"/>
    <col min="10" max="10" width="9.58203125" customWidth="1"/>
    <col min="11" max="11" width="9.5" customWidth="1"/>
    <col min="12" max="12" width="9.58203125" customWidth="1"/>
    <col min="13" max="13" width="9.5" customWidth="1"/>
    <col min="14" max="14" width="9.58203125" customWidth="1"/>
    <col min="15" max="15" width="9.5" customWidth="1"/>
    <col min="16" max="16" width="9.58203125" customWidth="1"/>
    <col min="17" max="17" width="9.5" customWidth="1"/>
    <col min="18" max="18" width="10.5" bestFit="1" customWidth="1"/>
  </cols>
  <sheetData>
    <row r="1" spans="1:37" ht="25.5" customHeight="1" x14ac:dyDescent="0.65">
      <c r="A1" s="33" t="s">
        <v>90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37" ht="18" customHeight="1" x14ac:dyDescent="0.65">
      <c r="A2" s="50" t="s">
        <v>204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37" ht="18" customHeight="1" x14ac:dyDescent="0.65">
      <c r="A3" s="34"/>
      <c r="B3" s="40">
        <v>1</v>
      </c>
      <c r="C3" s="40">
        <f>B3+1</f>
        <v>2</v>
      </c>
      <c r="D3" s="40">
        <f t="shared" ref="D3:AK3" si="0">C3+1</f>
        <v>3</v>
      </c>
      <c r="E3" s="40">
        <f t="shared" si="0"/>
        <v>4</v>
      </c>
      <c r="F3" s="40">
        <f t="shared" si="0"/>
        <v>5</v>
      </c>
      <c r="G3" s="40">
        <f t="shared" si="0"/>
        <v>6</v>
      </c>
      <c r="H3" s="40">
        <f t="shared" si="0"/>
        <v>7</v>
      </c>
      <c r="I3" s="40">
        <f t="shared" si="0"/>
        <v>8</v>
      </c>
      <c r="J3" s="40">
        <f t="shared" si="0"/>
        <v>9</v>
      </c>
      <c r="K3" s="40">
        <f t="shared" si="0"/>
        <v>10</v>
      </c>
      <c r="L3" s="40">
        <f t="shared" si="0"/>
        <v>11</v>
      </c>
      <c r="M3" s="40">
        <f t="shared" si="0"/>
        <v>12</v>
      </c>
      <c r="N3" s="40">
        <f t="shared" si="0"/>
        <v>13</v>
      </c>
      <c r="O3" s="40">
        <f t="shared" si="0"/>
        <v>14</v>
      </c>
      <c r="P3" s="40">
        <f t="shared" si="0"/>
        <v>15</v>
      </c>
      <c r="Q3" s="40">
        <f t="shared" si="0"/>
        <v>16</v>
      </c>
      <c r="R3" s="40">
        <f t="shared" si="0"/>
        <v>17</v>
      </c>
      <c r="S3" s="40">
        <f t="shared" si="0"/>
        <v>18</v>
      </c>
      <c r="T3" s="40">
        <f t="shared" si="0"/>
        <v>19</v>
      </c>
      <c r="U3" s="40">
        <f t="shared" si="0"/>
        <v>20</v>
      </c>
      <c r="V3" s="40">
        <f t="shared" si="0"/>
        <v>21</v>
      </c>
      <c r="W3" s="40">
        <f t="shared" si="0"/>
        <v>22</v>
      </c>
      <c r="X3" s="40">
        <f t="shared" si="0"/>
        <v>23</v>
      </c>
      <c r="Y3" s="40">
        <f t="shared" si="0"/>
        <v>24</v>
      </c>
      <c r="Z3" s="40">
        <f t="shared" si="0"/>
        <v>25</v>
      </c>
      <c r="AA3" s="40">
        <f t="shared" si="0"/>
        <v>26</v>
      </c>
      <c r="AB3" s="40">
        <f t="shared" si="0"/>
        <v>27</v>
      </c>
      <c r="AC3" s="40">
        <f t="shared" si="0"/>
        <v>28</v>
      </c>
      <c r="AD3" s="40">
        <f t="shared" si="0"/>
        <v>29</v>
      </c>
      <c r="AE3" s="40">
        <f t="shared" si="0"/>
        <v>30</v>
      </c>
      <c r="AF3" s="40">
        <f t="shared" si="0"/>
        <v>31</v>
      </c>
      <c r="AG3" s="40">
        <f t="shared" si="0"/>
        <v>32</v>
      </c>
      <c r="AH3" s="40">
        <f t="shared" si="0"/>
        <v>33</v>
      </c>
      <c r="AI3" s="40">
        <f t="shared" si="0"/>
        <v>34</v>
      </c>
      <c r="AJ3" s="40">
        <f t="shared" si="0"/>
        <v>35</v>
      </c>
      <c r="AK3" s="40">
        <f t="shared" si="0"/>
        <v>36</v>
      </c>
    </row>
    <row r="4" spans="1:37" ht="13.4" customHeight="1" x14ac:dyDescent="0.65">
      <c r="B4" s="40">
        <v>2019</v>
      </c>
      <c r="C4" s="40">
        <v>2019</v>
      </c>
      <c r="D4" s="40">
        <v>2019</v>
      </c>
      <c r="E4" s="40">
        <v>2019</v>
      </c>
      <c r="F4" s="40">
        <f>B4+1</f>
        <v>2020</v>
      </c>
      <c r="G4" s="40">
        <f t="shared" ref="G4:AK4" si="1">C4+1</f>
        <v>2020</v>
      </c>
      <c r="H4" s="40">
        <f t="shared" si="1"/>
        <v>2020</v>
      </c>
      <c r="I4" s="40">
        <f t="shared" si="1"/>
        <v>2020</v>
      </c>
      <c r="J4" s="40">
        <f t="shared" si="1"/>
        <v>2021</v>
      </c>
      <c r="K4" s="40">
        <f t="shared" si="1"/>
        <v>2021</v>
      </c>
      <c r="L4" s="40">
        <f t="shared" si="1"/>
        <v>2021</v>
      </c>
      <c r="M4" s="40">
        <f t="shared" si="1"/>
        <v>2021</v>
      </c>
      <c r="N4" s="40">
        <f t="shared" si="1"/>
        <v>2022</v>
      </c>
      <c r="O4" s="40">
        <f t="shared" si="1"/>
        <v>2022</v>
      </c>
      <c r="P4" s="40">
        <f t="shared" si="1"/>
        <v>2022</v>
      </c>
      <c r="Q4" s="40">
        <f t="shared" si="1"/>
        <v>2022</v>
      </c>
      <c r="R4" s="40">
        <f t="shared" si="1"/>
        <v>2023</v>
      </c>
      <c r="S4" s="40">
        <f t="shared" si="1"/>
        <v>2023</v>
      </c>
      <c r="T4" s="40">
        <f t="shared" si="1"/>
        <v>2023</v>
      </c>
      <c r="U4" s="40">
        <f t="shared" si="1"/>
        <v>2023</v>
      </c>
      <c r="V4" s="40">
        <f t="shared" si="1"/>
        <v>2024</v>
      </c>
      <c r="W4" s="40">
        <f t="shared" si="1"/>
        <v>2024</v>
      </c>
      <c r="X4" s="40">
        <f t="shared" si="1"/>
        <v>2024</v>
      </c>
      <c r="Y4" s="40">
        <f t="shared" si="1"/>
        <v>2024</v>
      </c>
      <c r="Z4" s="40">
        <f t="shared" si="1"/>
        <v>2025</v>
      </c>
      <c r="AA4" s="40">
        <f t="shared" si="1"/>
        <v>2025</v>
      </c>
      <c r="AB4" s="40">
        <f t="shared" si="1"/>
        <v>2025</v>
      </c>
      <c r="AC4" s="40">
        <f t="shared" si="1"/>
        <v>2025</v>
      </c>
      <c r="AD4" s="40">
        <f t="shared" si="1"/>
        <v>2026</v>
      </c>
      <c r="AE4" s="40">
        <f t="shared" si="1"/>
        <v>2026</v>
      </c>
      <c r="AF4" s="40">
        <f t="shared" si="1"/>
        <v>2026</v>
      </c>
      <c r="AG4" s="40">
        <f t="shared" si="1"/>
        <v>2026</v>
      </c>
      <c r="AH4" s="40">
        <f t="shared" si="1"/>
        <v>2027</v>
      </c>
      <c r="AI4" s="40">
        <f t="shared" si="1"/>
        <v>2027</v>
      </c>
      <c r="AJ4" s="40">
        <f t="shared" si="1"/>
        <v>2027</v>
      </c>
      <c r="AK4" s="40">
        <f t="shared" si="1"/>
        <v>2027</v>
      </c>
    </row>
    <row r="5" spans="1:37" ht="10.5" customHeight="1" x14ac:dyDescent="0.65">
      <c r="A5" s="2" t="s">
        <v>1</v>
      </c>
      <c r="B5" s="3" t="s">
        <v>89</v>
      </c>
      <c r="C5" s="3" t="s">
        <v>88</v>
      </c>
      <c r="D5" s="3" t="s">
        <v>87</v>
      </c>
      <c r="E5" s="3" t="s">
        <v>86</v>
      </c>
      <c r="F5" s="3" t="s">
        <v>85</v>
      </c>
      <c r="G5" s="3" t="s">
        <v>84</v>
      </c>
      <c r="H5" s="3" t="s">
        <v>83</v>
      </c>
      <c r="I5" s="3" t="s">
        <v>82</v>
      </c>
      <c r="J5" s="3" t="s">
        <v>81</v>
      </c>
      <c r="K5" s="3" t="s">
        <v>80</v>
      </c>
      <c r="L5" s="3" t="s">
        <v>79</v>
      </c>
      <c r="M5" s="3" t="s">
        <v>78</v>
      </c>
      <c r="N5" s="3" t="s">
        <v>77</v>
      </c>
      <c r="O5" s="3" t="s">
        <v>76</v>
      </c>
      <c r="P5" s="3" t="s">
        <v>75</v>
      </c>
      <c r="Q5" s="3" t="s">
        <v>74</v>
      </c>
      <c r="R5" s="3">
        <v>1</v>
      </c>
      <c r="S5" s="3">
        <f>R5+1</f>
        <v>2</v>
      </c>
      <c r="T5" s="3">
        <f t="shared" ref="T5:U5" si="2">S5+1</f>
        <v>3</v>
      </c>
      <c r="U5" s="3">
        <f t="shared" si="2"/>
        <v>4</v>
      </c>
      <c r="V5" s="3">
        <f>R5</f>
        <v>1</v>
      </c>
      <c r="W5" s="3">
        <f t="shared" ref="W5:AK5" si="3">S5</f>
        <v>2</v>
      </c>
      <c r="X5" s="3">
        <f t="shared" si="3"/>
        <v>3</v>
      </c>
      <c r="Y5" s="3">
        <f t="shared" si="3"/>
        <v>4</v>
      </c>
      <c r="Z5" s="3">
        <f t="shared" si="3"/>
        <v>1</v>
      </c>
      <c r="AA5" s="3">
        <f t="shared" si="3"/>
        <v>2</v>
      </c>
      <c r="AB5" s="3">
        <f t="shared" si="3"/>
        <v>3</v>
      </c>
      <c r="AC5" s="3">
        <f t="shared" si="3"/>
        <v>4</v>
      </c>
      <c r="AD5" s="3">
        <f t="shared" si="3"/>
        <v>1</v>
      </c>
      <c r="AE5" s="3">
        <f t="shared" si="3"/>
        <v>2</v>
      </c>
      <c r="AF5" s="3">
        <f t="shared" si="3"/>
        <v>3</v>
      </c>
      <c r="AG5" s="3">
        <f t="shared" si="3"/>
        <v>4</v>
      </c>
      <c r="AH5" s="3">
        <f t="shared" si="3"/>
        <v>1</v>
      </c>
      <c r="AI5" s="3">
        <f t="shared" si="3"/>
        <v>2</v>
      </c>
      <c r="AJ5" s="3">
        <f t="shared" si="3"/>
        <v>3</v>
      </c>
      <c r="AK5" s="3">
        <f t="shared" si="3"/>
        <v>4</v>
      </c>
    </row>
    <row r="6" spans="1:37" ht="13.4" customHeight="1" x14ac:dyDescent="0.65"/>
    <row r="7" spans="1:37" ht="13" customHeight="1" x14ac:dyDescent="0.65">
      <c r="A7" s="87" t="s">
        <v>73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</row>
    <row r="8" spans="1:37" ht="10.5" customHeight="1" x14ac:dyDescent="0.65">
      <c r="A8" s="4" t="s">
        <v>72</v>
      </c>
      <c r="B8" s="5">
        <v>0</v>
      </c>
      <c r="C8" s="5">
        <v>4160.54</v>
      </c>
      <c r="D8" s="5">
        <v>4167.45</v>
      </c>
      <c r="E8" s="5">
        <v>6873.21</v>
      </c>
      <c r="F8" s="5">
        <v>7189.04</v>
      </c>
      <c r="G8" s="5">
        <v>7748.5</v>
      </c>
      <c r="H8" s="5">
        <v>8636.5400000000009</v>
      </c>
      <c r="I8" s="5">
        <v>9458.5400000000009</v>
      </c>
      <c r="J8" s="5">
        <v>10388.64</v>
      </c>
      <c r="K8" s="5">
        <v>11082.92</v>
      </c>
      <c r="L8" s="5">
        <v>11284.43</v>
      </c>
      <c r="M8" s="5">
        <v>177.46</v>
      </c>
      <c r="N8" s="5">
        <v>187.45</v>
      </c>
      <c r="O8" s="5">
        <v>187.45</v>
      </c>
      <c r="P8" s="5">
        <v>187.45</v>
      </c>
      <c r="Q8" s="5">
        <v>142.99</v>
      </c>
      <c r="R8" s="5">
        <f>Q8</f>
        <v>142.99</v>
      </c>
      <c r="S8" s="5">
        <f t="shared" ref="S8:AK8" si="4">R8</f>
        <v>142.99</v>
      </c>
      <c r="T8" s="5">
        <f t="shared" si="4"/>
        <v>142.99</v>
      </c>
      <c r="U8" s="5">
        <f t="shared" si="4"/>
        <v>142.99</v>
      </c>
      <c r="V8" s="5">
        <f t="shared" si="4"/>
        <v>142.99</v>
      </c>
      <c r="W8" s="5">
        <f t="shared" si="4"/>
        <v>142.99</v>
      </c>
      <c r="X8" s="5">
        <f t="shared" si="4"/>
        <v>142.99</v>
      </c>
      <c r="Y8" s="5">
        <f t="shared" si="4"/>
        <v>142.99</v>
      </c>
      <c r="Z8" s="5">
        <f t="shared" si="4"/>
        <v>142.99</v>
      </c>
      <c r="AA8" s="5">
        <f t="shared" si="4"/>
        <v>142.99</v>
      </c>
      <c r="AB8" s="5">
        <f t="shared" si="4"/>
        <v>142.99</v>
      </c>
      <c r="AC8" s="5">
        <f t="shared" si="4"/>
        <v>142.99</v>
      </c>
      <c r="AD8" s="5">
        <f t="shared" si="4"/>
        <v>142.99</v>
      </c>
      <c r="AE8" s="5">
        <f t="shared" si="4"/>
        <v>142.99</v>
      </c>
      <c r="AF8" s="5">
        <f t="shared" si="4"/>
        <v>142.99</v>
      </c>
      <c r="AG8" s="5">
        <f t="shared" si="4"/>
        <v>142.99</v>
      </c>
      <c r="AH8" s="5">
        <f t="shared" si="4"/>
        <v>142.99</v>
      </c>
      <c r="AI8" s="5">
        <f t="shared" si="4"/>
        <v>142.99</v>
      </c>
      <c r="AJ8" s="5">
        <f t="shared" si="4"/>
        <v>142.99</v>
      </c>
      <c r="AK8" s="5">
        <f t="shared" si="4"/>
        <v>142.99</v>
      </c>
    </row>
    <row r="9" spans="1:37" ht="10.5" customHeight="1" x14ac:dyDescent="0.65">
      <c r="A9" s="8" t="s">
        <v>71</v>
      </c>
      <c r="B9" s="9">
        <f t="shared" ref="B9:R9" si="5">B8</f>
        <v>0</v>
      </c>
      <c r="C9" s="9">
        <f t="shared" si="5"/>
        <v>4160.54</v>
      </c>
      <c r="D9" s="9">
        <f t="shared" si="5"/>
        <v>4167.45</v>
      </c>
      <c r="E9" s="9">
        <f t="shared" si="5"/>
        <v>6873.21</v>
      </c>
      <c r="F9" s="9">
        <f t="shared" si="5"/>
        <v>7189.04</v>
      </c>
      <c r="G9" s="9">
        <f t="shared" si="5"/>
        <v>7748.5</v>
      </c>
      <c r="H9" s="9">
        <f t="shared" si="5"/>
        <v>8636.5400000000009</v>
      </c>
      <c r="I9" s="9">
        <f t="shared" si="5"/>
        <v>9458.5400000000009</v>
      </c>
      <c r="J9" s="9">
        <f t="shared" si="5"/>
        <v>10388.64</v>
      </c>
      <c r="K9" s="9">
        <f t="shared" si="5"/>
        <v>11082.92</v>
      </c>
      <c r="L9" s="9">
        <f t="shared" si="5"/>
        <v>11284.43</v>
      </c>
      <c r="M9" s="9">
        <f t="shared" si="5"/>
        <v>177.46</v>
      </c>
      <c r="N9" s="9">
        <f t="shared" si="5"/>
        <v>187.45</v>
      </c>
      <c r="O9" s="9">
        <f t="shared" si="5"/>
        <v>187.45</v>
      </c>
      <c r="P9" s="9">
        <f t="shared" si="5"/>
        <v>187.45</v>
      </c>
      <c r="Q9" s="9">
        <f t="shared" si="5"/>
        <v>142.99</v>
      </c>
      <c r="R9" s="9">
        <f t="shared" si="5"/>
        <v>142.99</v>
      </c>
      <c r="S9" s="9">
        <f t="shared" ref="S9:AK9" si="6">S8</f>
        <v>142.99</v>
      </c>
      <c r="T9" s="9">
        <f t="shared" si="6"/>
        <v>142.99</v>
      </c>
      <c r="U9" s="9">
        <f t="shared" si="6"/>
        <v>142.99</v>
      </c>
      <c r="V9" s="9">
        <f t="shared" si="6"/>
        <v>142.99</v>
      </c>
      <c r="W9" s="9">
        <f t="shared" si="6"/>
        <v>142.99</v>
      </c>
      <c r="X9" s="9">
        <f t="shared" si="6"/>
        <v>142.99</v>
      </c>
      <c r="Y9" s="9">
        <f t="shared" si="6"/>
        <v>142.99</v>
      </c>
      <c r="Z9" s="9">
        <f t="shared" si="6"/>
        <v>142.99</v>
      </c>
      <c r="AA9" s="9">
        <f t="shared" si="6"/>
        <v>142.99</v>
      </c>
      <c r="AB9" s="9">
        <f t="shared" si="6"/>
        <v>142.99</v>
      </c>
      <c r="AC9" s="9">
        <f t="shared" si="6"/>
        <v>142.99</v>
      </c>
      <c r="AD9" s="9">
        <f t="shared" si="6"/>
        <v>142.99</v>
      </c>
      <c r="AE9" s="9">
        <f t="shared" si="6"/>
        <v>142.99</v>
      </c>
      <c r="AF9" s="9">
        <f t="shared" si="6"/>
        <v>142.99</v>
      </c>
      <c r="AG9" s="9">
        <f t="shared" si="6"/>
        <v>142.99</v>
      </c>
      <c r="AH9" s="9">
        <f t="shared" si="6"/>
        <v>142.99</v>
      </c>
      <c r="AI9" s="9">
        <f t="shared" si="6"/>
        <v>142.99</v>
      </c>
      <c r="AJ9" s="9">
        <f t="shared" si="6"/>
        <v>142.99</v>
      </c>
      <c r="AK9" s="9">
        <f t="shared" si="6"/>
        <v>142.99</v>
      </c>
    </row>
    <row r="10" spans="1:37" ht="13.4" customHeight="1" x14ac:dyDescent="0.65"/>
    <row r="11" spans="1:37" ht="13" customHeight="1" x14ac:dyDescent="0.65">
      <c r="A11" s="87" t="s">
        <v>70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</row>
    <row r="12" spans="1:37" ht="10.5" customHeight="1" x14ac:dyDescent="0.65">
      <c r="A12" s="4" t="s">
        <v>69</v>
      </c>
      <c r="B12" s="5">
        <v>5916.95</v>
      </c>
      <c r="C12" s="5">
        <v>386170.07</v>
      </c>
      <c r="D12" s="5">
        <v>248308.1</v>
      </c>
      <c r="E12" s="5">
        <v>117287.23</v>
      </c>
      <c r="F12" s="5">
        <v>296310.15999999997</v>
      </c>
      <c r="G12" s="5">
        <v>505013.95</v>
      </c>
      <c r="H12" s="5">
        <v>391020.39</v>
      </c>
      <c r="I12" s="5">
        <v>205249.95</v>
      </c>
      <c r="J12" s="5">
        <v>409546.76</v>
      </c>
      <c r="K12" s="5">
        <v>711064.37</v>
      </c>
      <c r="L12" s="5">
        <v>470546.57</v>
      </c>
      <c r="M12" s="5">
        <v>222444.82</v>
      </c>
      <c r="N12" s="5">
        <v>182828.66</v>
      </c>
      <c r="O12" s="5">
        <v>131181.32999999999</v>
      </c>
      <c r="P12" s="5">
        <v>557125.11</v>
      </c>
      <c r="Q12" s="5">
        <v>398128.57</v>
      </c>
      <c r="R12" s="42">
        <f>'CFS-Q'!S40</f>
        <v>160600.18904067605</v>
      </c>
      <c r="S12" s="42">
        <f>'CFS-Q'!T40</f>
        <v>3034362.6029423079</v>
      </c>
      <c r="T12" s="42">
        <f>'CFS-Q'!U40</f>
        <v>2864015.7674541506</v>
      </c>
      <c r="U12" s="42">
        <f>'CFS-Q'!V40</f>
        <v>2689462.9224619023</v>
      </c>
      <c r="V12" s="42">
        <f>'CFS-Q'!W40</f>
        <v>2577884.3919924586</v>
      </c>
      <c r="W12" s="42">
        <f>'CFS-Q'!X40</f>
        <v>2425183.9111761013</v>
      </c>
      <c r="X12" s="42">
        <f>'CFS-Q'!Y40</f>
        <v>2383615.2456514034</v>
      </c>
      <c r="Y12" s="42">
        <f>'CFS-Q'!Z40</f>
        <v>2042130.2179208</v>
      </c>
      <c r="Z12" s="42">
        <f>'CFS-Q'!AA40</f>
        <v>1642061.4466797167</v>
      </c>
      <c r="AA12" s="42">
        <f>'CFS-Q'!AB40</f>
        <v>1126916.7652793156</v>
      </c>
      <c r="AB12" s="42">
        <f>'CFS-Q'!AC40</f>
        <v>1246487.4725307741</v>
      </c>
      <c r="AC12" s="42">
        <f>'CFS-Q'!AD40</f>
        <v>2019461.6206971363</v>
      </c>
      <c r="AD12" s="42">
        <f>'CFS-Q'!AE40</f>
        <v>3471297.6777239935</v>
      </c>
      <c r="AE12" s="42">
        <f>'CFS-Q'!AF40</f>
        <v>5574210.3147372352</v>
      </c>
      <c r="AF12" s="42">
        <f>'CFS-Q'!AG40</f>
        <v>8405750.1368707344</v>
      </c>
      <c r="AG12" s="42">
        <f>'CFS-Q'!AH40</f>
        <v>12006026.261697635</v>
      </c>
      <c r="AH12" s="42">
        <f>'CFS-Q'!AI40</f>
        <v>16338931.913792927</v>
      </c>
      <c r="AI12" s="42">
        <f>'CFS-Q'!AJ40</f>
        <v>21501711.588955108</v>
      </c>
      <c r="AJ12" s="42">
        <f>'CFS-Q'!AK40</f>
        <v>27563155.530646633</v>
      </c>
      <c r="AK12" s="42">
        <f>'CFS-Q'!AL40</f>
        <v>34570683.380320117</v>
      </c>
    </row>
    <row r="13" spans="1:37" ht="10.5" customHeight="1" x14ac:dyDescent="0.65">
      <c r="A13" s="6" t="s">
        <v>68</v>
      </c>
      <c r="B13" s="7">
        <v>0</v>
      </c>
      <c r="C13" s="7">
        <v>445</v>
      </c>
      <c r="D13" s="7">
        <v>445</v>
      </c>
      <c r="E13" s="7">
        <v>61055.07</v>
      </c>
      <c r="F13" s="7">
        <v>575.96</v>
      </c>
      <c r="G13" s="7">
        <v>15620.85</v>
      </c>
      <c r="H13" s="7">
        <v>17566.46</v>
      </c>
      <c r="I13" s="7">
        <v>77680.160000000003</v>
      </c>
      <c r="J13" s="7">
        <v>54124.93</v>
      </c>
      <c r="K13" s="7">
        <v>79259.429999999993</v>
      </c>
      <c r="L13" s="7">
        <v>32212.639999999999</v>
      </c>
      <c r="M13" s="7">
        <v>10578.04</v>
      </c>
      <c r="N13" s="7">
        <v>18341.84</v>
      </c>
      <c r="O13" s="7">
        <v>49056.44</v>
      </c>
      <c r="P13" s="7">
        <v>45567.4</v>
      </c>
      <c r="Q13" s="7">
        <v>37465.22</v>
      </c>
      <c r="R13" s="7">
        <f>Q13</f>
        <v>37465.22</v>
      </c>
      <c r="S13" s="7">
        <f t="shared" ref="S13:AK18" si="7">R13</f>
        <v>37465.22</v>
      </c>
      <c r="T13" s="7">
        <f t="shared" si="7"/>
        <v>37465.22</v>
      </c>
      <c r="U13" s="7">
        <f t="shared" si="7"/>
        <v>37465.22</v>
      </c>
      <c r="V13" s="7">
        <f t="shared" si="7"/>
        <v>37465.22</v>
      </c>
      <c r="W13" s="7">
        <f t="shared" si="7"/>
        <v>37465.22</v>
      </c>
      <c r="X13" s="7">
        <f t="shared" si="7"/>
        <v>37465.22</v>
      </c>
      <c r="Y13" s="7">
        <f t="shared" si="7"/>
        <v>37465.22</v>
      </c>
      <c r="Z13" s="7">
        <f t="shared" si="7"/>
        <v>37465.22</v>
      </c>
      <c r="AA13" s="7">
        <f t="shared" si="7"/>
        <v>37465.22</v>
      </c>
      <c r="AB13" s="7">
        <f t="shared" si="7"/>
        <v>37465.22</v>
      </c>
      <c r="AC13" s="7">
        <f t="shared" si="7"/>
        <v>37465.22</v>
      </c>
      <c r="AD13" s="7">
        <f t="shared" si="7"/>
        <v>37465.22</v>
      </c>
      <c r="AE13" s="7">
        <f t="shared" si="7"/>
        <v>37465.22</v>
      </c>
      <c r="AF13" s="7">
        <f t="shared" si="7"/>
        <v>37465.22</v>
      </c>
      <c r="AG13" s="7">
        <f t="shared" si="7"/>
        <v>37465.22</v>
      </c>
      <c r="AH13" s="7">
        <f t="shared" si="7"/>
        <v>37465.22</v>
      </c>
      <c r="AI13" s="7">
        <f t="shared" si="7"/>
        <v>37465.22</v>
      </c>
      <c r="AJ13" s="7">
        <f t="shared" si="7"/>
        <v>37465.22</v>
      </c>
      <c r="AK13" s="7">
        <f t="shared" si="7"/>
        <v>37465.22</v>
      </c>
    </row>
    <row r="14" spans="1:37" ht="10.5" customHeight="1" x14ac:dyDescent="0.65">
      <c r="A14" s="6" t="s">
        <v>67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8029.17</v>
      </c>
      <c r="R14" s="7">
        <f t="shared" ref="R14:AG18" si="8">Q14</f>
        <v>8029.17</v>
      </c>
      <c r="S14" s="7">
        <f t="shared" si="8"/>
        <v>8029.17</v>
      </c>
      <c r="T14" s="7">
        <f t="shared" si="8"/>
        <v>8029.17</v>
      </c>
      <c r="U14" s="7">
        <f t="shared" si="8"/>
        <v>8029.17</v>
      </c>
      <c r="V14" s="7">
        <f t="shared" si="8"/>
        <v>8029.17</v>
      </c>
      <c r="W14" s="7">
        <f t="shared" si="8"/>
        <v>8029.17</v>
      </c>
      <c r="X14" s="7">
        <f t="shared" si="8"/>
        <v>8029.17</v>
      </c>
      <c r="Y14" s="7">
        <f t="shared" si="8"/>
        <v>8029.17</v>
      </c>
      <c r="Z14" s="7">
        <f t="shared" si="8"/>
        <v>8029.17</v>
      </c>
      <c r="AA14" s="7">
        <f t="shared" si="8"/>
        <v>8029.17</v>
      </c>
      <c r="AB14" s="7">
        <f t="shared" si="8"/>
        <v>8029.17</v>
      </c>
      <c r="AC14" s="7">
        <f t="shared" si="8"/>
        <v>8029.17</v>
      </c>
      <c r="AD14" s="7">
        <f t="shared" si="8"/>
        <v>8029.17</v>
      </c>
      <c r="AE14" s="7">
        <f t="shared" si="8"/>
        <v>8029.17</v>
      </c>
      <c r="AF14" s="7">
        <f t="shared" si="8"/>
        <v>8029.17</v>
      </c>
      <c r="AG14" s="7">
        <f t="shared" si="8"/>
        <v>8029.17</v>
      </c>
      <c r="AH14" s="7">
        <f t="shared" si="7"/>
        <v>8029.17</v>
      </c>
      <c r="AI14" s="7">
        <f t="shared" si="7"/>
        <v>8029.17</v>
      </c>
      <c r="AJ14" s="7">
        <f t="shared" si="7"/>
        <v>8029.17</v>
      </c>
      <c r="AK14" s="7">
        <f t="shared" si="7"/>
        <v>8029.17</v>
      </c>
    </row>
    <row r="15" spans="1:37" ht="10.5" customHeight="1" x14ac:dyDescent="0.65">
      <c r="A15" s="6" t="s">
        <v>58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417.32</v>
      </c>
      <c r="P15" s="7">
        <v>0</v>
      </c>
      <c r="Q15" s="7">
        <v>0</v>
      </c>
      <c r="R15" s="7">
        <f t="shared" si="8"/>
        <v>0</v>
      </c>
      <c r="S15" s="7">
        <f t="shared" si="7"/>
        <v>0</v>
      </c>
      <c r="T15" s="7">
        <f t="shared" si="7"/>
        <v>0</v>
      </c>
      <c r="U15" s="7">
        <f t="shared" si="7"/>
        <v>0</v>
      </c>
      <c r="V15" s="7">
        <f t="shared" si="7"/>
        <v>0</v>
      </c>
      <c r="W15" s="7">
        <f t="shared" si="7"/>
        <v>0</v>
      </c>
      <c r="X15" s="7">
        <f t="shared" si="7"/>
        <v>0</v>
      </c>
      <c r="Y15" s="7">
        <f t="shared" si="7"/>
        <v>0</v>
      </c>
      <c r="Z15" s="7">
        <f t="shared" si="7"/>
        <v>0</v>
      </c>
      <c r="AA15" s="7">
        <f t="shared" si="7"/>
        <v>0</v>
      </c>
      <c r="AB15" s="7">
        <f t="shared" si="7"/>
        <v>0</v>
      </c>
      <c r="AC15" s="7">
        <f t="shared" si="7"/>
        <v>0</v>
      </c>
      <c r="AD15" s="7">
        <f t="shared" si="7"/>
        <v>0</v>
      </c>
      <c r="AE15" s="7">
        <f t="shared" si="7"/>
        <v>0</v>
      </c>
      <c r="AF15" s="7">
        <f t="shared" si="7"/>
        <v>0</v>
      </c>
      <c r="AG15" s="7">
        <f t="shared" si="7"/>
        <v>0</v>
      </c>
      <c r="AH15" s="7">
        <f t="shared" si="7"/>
        <v>0</v>
      </c>
      <c r="AI15" s="7">
        <f t="shared" si="7"/>
        <v>0</v>
      </c>
      <c r="AJ15" s="7">
        <f t="shared" si="7"/>
        <v>0</v>
      </c>
      <c r="AK15" s="7">
        <f t="shared" si="7"/>
        <v>0</v>
      </c>
    </row>
    <row r="16" spans="1:37" ht="10.5" customHeight="1" x14ac:dyDescent="0.65">
      <c r="A16" s="6" t="s">
        <v>62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5.75</v>
      </c>
      <c r="M16" s="7">
        <v>5.75</v>
      </c>
      <c r="N16" s="7">
        <v>5.75</v>
      </c>
      <c r="O16" s="7">
        <v>5.75</v>
      </c>
      <c r="P16" s="7">
        <v>0</v>
      </c>
      <c r="Q16" s="7">
        <v>0</v>
      </c>
      <c r="R16" s="7">
        <f t="shared" si="8"/>
        <v>0</v>
      </c>
      <c r="S16" s="7">
        <f t="shared" si="7"/>
        <v>0</v>
      </c>
      <c r="T16" s="7">
        <f t="shared" si="7"/>
        <v>0</v>
      </c>
      <c r="U16" s="7">
        <f t="shared" si="7"/>
        <v>0</v>
      </c>
      <c r="V16" s="7">
        <f t="shared" si="7"/>
        <v>0</v>
      </c>
      <c r="W16" s="7">
        <f t="shared" si="7"/>
        <v>0</v>
      </c>
      <c r="X16" s="7">
        <f t="shared" si="7"/>
        <v>0</v>
      </c>
      <c r="Y16" s="7">
        <f t="shared" si="7"/>
        <v>0</v>
      </c>
      <c r="Z16" s="7">
        <f t="shared" si="7"/>
        <v>0</v>
      </c>
      <c r="AA16" s="7">
        <f t="shared" si="7"/>
        <v>0</v>
      </c>
      <c r="AB16" s="7">
        <f t="shared" si="7"/>
        <v>0</v>
      </c>
      <c r="AC16" s="7">
        <f t="shared" si="7"/>
        <v>0</v>
      </c>
      <c r="AD16" s="7">
        <f t="shared" si="7"/>
        <v>0</v>
      </c>
      <c r="AE16" s="7">
        <f t="shared" si="7"/>
        <v>0</v>
      </c>
      <c r="AF16" s="7">
        <f t="shared" si="7"/>
        <v>0</v>
      </c>
      <c r="AG16" s="7">
        <f t="shared" si="7"/>
        <v>0</v>
      </c>
      <c r="AH16" s="7">
        <f t="shared" si="7"/>
        <v>0</v>
      </c>
      <c r="AI16" s="7">
        <f t="shared" si="7"/>
        <v>0</v>
      </c>
      <c r="AJ16" s="7">
        <f t="shared" si="7"/>
        <v>0</v>
      </c>
      <c r="AK16" s="7">
        <f t="shared" si="7"/>
        <v>0</v>
      </c>
    </row>
    <row r="17" spans="1:37" ht="10.5" customHeight="1" x14ac:dyDescent="0.65">
      <c r="A17" s="6" t="s">
        <v>60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0.01</v>
      </c>
      <c r="J17" s="7">
        <v>0.01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16.87</v>
      </c>
      <c r="Q17" s="7">
        <v>24</v>
      </c>
      <c r="R17" s="7">
        <f t="shared" si="8"/>
        <v>24</v>
      </c>
      <c r="S17" s="7">
        <f t="shared" si="7"/>
        <v>24</v>
      </c>
      <c r="T17" s="7">
        <f t="shared" si="7"/>
        <v>24</v>
      </c>
      <c r="U17" s="7">
        <f t="shared" si="7"/>
        <v>24</v>
      </c>
      <c r="V17" s="7">
        <f t="shared" si="7"/>
        <v>24</v>
      </c>
      <c r="W17" s="7">
        <f t="shared" si="7"/>
        <v>24</v>
      </c>
      <c r="X17" s="7">
        <f t="shared" si="7"/>
        <v>24</v>
      </c>
      <c r="Y17" s="7">
        <f t="shared" si="7"/>
        <v>24</v>
      </c>
      <c r="Z17" s="7">
        <f t="shared" si="7"/>
        <v>24</v>
      </c>
      <c r="AA17" s="7">
        <f t="shared" si="7"/>
        <v>24</v>
      </c>
      <c r="AB17" s="7">
        <f t="shared" si="7"/>
        <v>24</v>
      </c>
      <c r="AC17" s="7">
        <f t="shared" si="7"/>
        <v>24</v>
      </c>
      <c r="AD17" s="7">
        <f t="shared" si="7"/>
        <v>24</v>
      </c>
      <c r="AE17" s="7">
        <f t="shared" si="7"/>
        <v>24</v>
      </c>
      <c r="AF17" s="7">
        <f t="shared" si="7"/>
        <v>24</v>
      </c>
      <c r="AG17" s="7">
        <f t="shared" si="7"/>
        <v>24</v>
      </c>
      <c r="AH17" s="7">
        <f t="shared" si="7"/>
        <v>24</v>
      </c>
      <c r="AI17" s="7">
        <f t="shared" si="7"/>
        <v>24</v>
      </c>
      <c r="AJ17" s="7">
        <f t="shared" si="7"/>
        <v>24</v>
      </c>
      <c r="AK17" s="7">
        <f t="shared" si="7"/>
        <v>24</v>
      </c>
    </row>
    <row r="18" spans="1:37" ht="10.5" customHeight="1" x14ac:dyDescent="0.65">
      <c r="A18" s="6" t="s">
        <v>59</v>
      </c>
      <c r="B18" s="7">
        <v>0</v>
      </c>
      <c r="C18" s="7">
        <v>6235.44</v>
      </c>
      <c r="D18" s="7">
        <v>6185.3</v>
      </c>
      <c r="E18" s="7">
        <v>0</v>
      </c>
      <c r="F18" s="7">
        <v>687.82</v>
      </c>
      <c r="G18" s="7">
        <v>6049.29</v>
      </c>
      <c r="H18" s="7">
        <v>0</v>
      </c>
      <c r="I18" s="7">
        <v>2946.92</v>
      </c>
      <c r="J18" s="7">
        <v>0</v>
      </c>
      <c r="K18" s="7">
        <v>0</v>
      </c>
      <c r="L18" s="7">
        <v>2681.64</v>
      </c>
      <c r="M18" s="7">
        <v>3128.91</v>
      </c>
      <c r="N18" s="7">
        <v>7708.93</v>
      </c>
      <c r="O18" s="7">
        <v>3336.02</v>
      </c>
      <c r="P18" s="7">
        <v>1482.38</v>
      </c>
      <c r="Q18" s="7">
        <v>3142.24</v>
      </c>
      <c r="R18" s="7">
        <f t="shared" si="8"/>
        <v>3142.24</v>
      </c>
      <c r="S18" s="7">
        <f t="shared" si="7"/>
        <v>3142.24</v>
      </c>
      <c r="T18" s="7">
        <f t="shared" si="7"/>
        <v>3142.24</v>
      </c>
      <c r="U18" s="7">
        <f t="shared" si="7"/>
        <v>3142.24</v>
      </c>
      <c r="V18" s="7">
        <f t="shared" si="7"/>
        <v>3142.24</v>
      </c>
      <c r="W18" s="7">
        <f t="shared" si="7"/>
        <v>3142.24</v>
      </c>
      <c r="X18" s="7">
        <f t="shared" si="7"/>
        <v>3142.24</v>
      </c>
      <c r="Y18" s="7">
        <f t="shared" si="7"/>
        <v>3142.24</v>
      </c>
      <c r="Z18" s="7">
        <f t="shared" si="7"/>
        <v>3142.24</v>
      </c>
      <c r="AA18" s="7">
        <f t="shared" si="7"/>
        <v>3142.24</v>
      </c>
      <c r="AB18" s="7">
        <f t="shared" si="7"/>
        <v>3142.24</v>
      </c>
      <c r="AC18" s="7">
        <f t="shared" si="7"/>
        <v>3142.24</v>
      </c>
      <c r="AD18" s="7">
        <f t="shared" si="7"/>
        <v>3142.24</v>
      </c>
      <c r="AE18" s="7">
        <f t="shared" si="7"/>
        <v>3142.24</v>
      </c>
      <c r="AF18" s="7">
        <f t="shared" si="7"/>
        <v>3142.24</v>
      </c>
      <c r="AG18" s="7">
        <f t="shared" si="7"/>
        <v>3142.24</v>
      </c>
      <c r="AH18" s="7">
        <f t="shared" si="7"/>
        <v>3142.24</v>
      </c>
      <c r="AI18" s="7">
        <f t="shared" si="7"/>
        <v>3142.24</v>
      </c>
      <c r="AJ18" s="7">
        <f t="shared" si="7"/>
        <v>3142.24</v>
      </c>
      <c r="AK18" s="7">
        <f t="shared" si="7"/>
        <v>3142.24</v>
      </c>
    </row>
    <row r="19" spans="1:37" ht="10.5" customHeight="1" x14ac:dyDescent="0.65">
      <c r="A19" s="8" t="s">
        <v>66</v>
      </c>
      <c r="B19" s="9">
        <f t="shared" ref="B19:Q19" si="9">SUM(B12:B18)</f>
        <v>5916.95</v>
      </c>
      <c r="C19" s="9">
        <f t="shared" si="9"/>
        <v>392850.51</v>
      </c>
      <c r="D19" s="9">
        <f t="shared" si="9"/>
        <v>254938.4</v>
      </c>
      <c r="E19" s="9">
        <f t="shared" si="9"/>
        <v>178342.3</v>
      </c>
      <c r="F19" s="9">
        <f t="shared" si="9"/>
        <v>297573.94</v>
      </c>
      <c r="G19" s="9">
        <f t="shared" si="9"/>
        <v>526684.09</v>
      </c>
      <c r="H19" s="9">
        <f t="shared" si="9"/>
        <v>408586.85000000003</v>
      </c>
      <c r="I19" s="9">
        <f t="shared" si="9"/>
        <v>285877.03999999998</v>
      </c>
      <c r="J19" s="9">
        <f t="shared" si="9"/>
        <v>463671.7</v>
      </c>
      <c r="K19" s="9">
        <f t="shared" si="9"/>
        <v>790323.8</v>
      </c>
      <c r="L19" s="9">
        <f t="shared" si="9"/>
        <v>505446.60000000003</v>
      </c>
      <c r="M19" s="9">
        <f t="shared" si="9"/>
        <v>236157.52000000002</v>
      </c>
      <c r="N19" s="9">
        <f t="shared" si="9"/>
        <v>208885.18</v>
      </c>
      <c r="O19" s="9">
        <f t="shared" si="9"/>
        <v>183996.86</v>
      </c>
      <c r="P19" s="9">
        <f t="shared" si="9"/>
        <v>604191.76</v>
      </c>
      <c r="Q19" s="9">
        <f t="shared" si="9"/>
        <v>446789.2</v>
      </c>
      <c r="R19" s="9">
        <f t="shared" ref="R19:AK19" si="10">SUM(R12:R18)</f>
        <v>209260.81904067606</v>
      </c>
      <c r="S19" s="9">
        <f t="shared" si="10"/>
        <v>3083023.2329423083</v>
      </c>
      <c r="T19" s="9">
        <f t="shared" si="10"/>
        <v>2912676.397454151</v>
      </c>
      <c r="U19" s="9">
        <f t="shared" si="10"/>
        <v>2738123.5524619026</v>
      </c>
      <c r="V19" s="9">
        <f t="shared" si="10"/>
        <v>2626545.021992459</v>
      </c>
      <c r="W19" s="9">
        <f t="shared" si="10"/>
        <v>2473844.5411761017</v>
      </c>
      <c r="X19" s="9">
        <f t="shared" si="10"/>
        <v>2432275.8756514038</v>
      </c>
      <c r="Y19" s="9">
        <f t="shared" si="10"/>
        <v>2090790.8479207999</v>
      </c>
      <c r="Z19" s="9">
        <f t="shared" si="10"/>
        <v>1690722.0766797166</v>
      </c>
      <c r="AA19" s="9">
        <f t="shared" si="10"/>
        <v>1175577.3952793155</v>
      </c>
      <c r="AB19" s="9">
        <f t="shared" si="10"/>
        <v>1295148.102530774</v>
      </c>
      <c r="AC19" s="9">
        <f t="shared" si="10"/>
        <v>2068122.2506971362</v>
      </c>
      <c r="AD19" s="9">
        <f t="shared" si="10"/>
        <v>3519958.3077239939</v>
      </c>
      <c r="AE19" s="9">
        <f t="shared" si="10"/>
        <v>5622870.9447372351</v>
      </c>
      <c r="AF19" s="9">
        <f t="shared" si="10"/>
        <v>8454410.7668707352</v>
      </c>
      <c r="AG19" s="9">
        <f t="shared" si="10"/>
        <v>12054686.891697636</v>
      </c>
      <c r="AH19" s="9">
        <f t="shared" si="10"/>
        <v>16387592.543792928</v>
      </c>
      <c r="AI19" s="9">
        <f t="shared" si="10"/>
        <v>21550372.218955107</v>
      </c>
      <c r="AJ19" s="9">
        <f t="shared" si="10"/>
        <v>27611816.160646632</v>
      </c>
      <c r="AK19" s="9">
        <f t="shared" si="10"/>
        <v>34619344.01032012</v>
      </c>
    </row>
    <row r="20" spans="1:37" ht="13.4" customHeight="1" x14ac:dyDescent="0.65"/>
    <row r="21" spans="1:37" ht="13" customHeight="1" x14ac:dyDescent="0.65">
      <c r="A21" s="87" t="s">
        <v>65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</row>
    <row r="22" spans="1:37" ht="10.5" customHeight="1" x14ac:dyDescent="0.65">
      <c r="A22" s="4" t="s">
        <v>64</v>
      </c>
      <c r="B22" s="5">
        <v>0</v>
      </c>
      <c r="C22" s="5">
        <v>0</v>
      </c>
      <c r="D22" s="5">
        <v>0</v>
      </c>
      <c r="E22" s="5">
        <v>53289</v>
      </c>
      <c r="F22" s="5">
        <v>6803.69</v>
      </c>
      <c r="G22" s="5">
        <v>28783.62</v>
      </c>
      <c r="H22" s="5">
        <v>29550.57</v>
      </c>
      <c r="I22" s="5">
        <v>78053.070000000007</v>
      </c>
      <c r="J22" s="5">
        <v>193615.17</v>
      </c>
      <c r="K22" s="5">
        <v>81944.77</v>
      </c>
      <c r="L22" s="5">
        <v>23935.79</v>
      </c>
      <c r="M22" s="5">
        <v>6913.19</v>
      </c>
      <c r="N22" s="5">
        <v>24113.99</v>
      </c>
      <c r="O22" s="5">
        <v>63471.83</v>
      </c>
      <c r="P22" s="5">
        <v>79433.320000000007</v>
      </c>
      <c r="Q22" s="5">
        <v>53891.93</v>
      </c>
      <c r="R22" s="5">
        <f>Q22</f>
        <v>53891.93</v>
      </c>
      <c r="S22" s="5">
        <f t="shared" ref="S22:AK32" si="11">R22</f>
        <v>53891.93</v>
      </c>
      <c r="T22" s="5">
        <f t="shared" si="11"/>
        <v>53891.93</v>
      </c>
      <c r="U22" s="5">
        <f t="shared" si="11"/>
        <v>53891.93</v>
      </c>
      <c r="V22" s="5">
        <f t="shared" si="11"/>
        <v>53891.93</v>
      </c>
      <c r="W22" s="5">
        <f t="shared" si="11"/>
        <v>53891.93</v>
      </c>
      <c r="X22" s="5">
        <f t="shared" si="11"/>
        <v>53891.93</v>
      </c>
      <c r="Y22" s="5">
        <f t="shared" si="11"/>
        <v>53891.93</v>
      </c>
      <c r="Z22" s="5">
        <f t="shared" si="11"/>
        <v>53891.93</v>
      </c>
      <c r="AA22" s="5">
        <f t="shared" si="11"/>
        <v>53891.93</v>
      </c>
      <c r="AB22" s="5">
        <f t="shared" si="11"/>
        <v>53891.93</v>
      </c>
      <c r="AC22" s="5">
        <f t="shared" si="11"/>
        <v>53891.93</v>
      </c>
      <c r="AD22" s="5">
        <f t="shared" si="11"/>
        <v>53891.93</v>
      </c>
      <c r="AE22" s="5">
        <f t="shared" si="11"/>
        <v>53891.93</v>
      </c>
      <c r="AF22" s="5">
        <f t="shared" si="11"/>
        <v>53891.93</v>
      </c>
      <c r="AG22" s="5">
        <f t="shared" si="11"/>
        <v>53891.93</v>
      </c>
      <c r="AH22" s="5">
        <f t="shared" si="11"/>
        <v>53891.93</v>
      </c>
      <c r="AI22" s="5">
        <f t="shared" si="11"/>
        <v>53891.93</v>
      </c>
      <c r="AJ22" s="5">
        <f t="shared" si="11"/>
        <v>53891.93</v>
      </c>
      <c r="AK22" s="5">
        <f t="shared" si="11"/>
        <v>53891.93</v>
      </c>
    </row>
    <row r="23" spans="1:37" ht="10.5" customHeight="1" x14ac:dyDescent="0.65">
      <c r="A23" s="6" t="s">
        <v>63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4500</v>
      </c>
      <c r="Q23" s="7">
        <v>14399.36</v>
      </c>
      <c r="R23" s="5">
        <f t="shared" ref="R23:AG32" si="12">Q23</f>
        <v>14399.36</v>
      </c>
      <c r="S23" s="5">
        <f t="shared" si="12"/>
        <v>14399.36</v>
      </c>
      <c r="T23" s="5">
        <f t="shared" si="12"/>
        <v>14399.36</v>
      </c>
      <c r="U23" s="5">
        <f t="shared" si="12"/>
        <v>14399.36</v>
      </c>
      <c r="V23" s="5">
        <f t="shared" si="12"/>
        <v>14399.36</v>
      </c>
      <c r="W23" s="5">
        <f t="shared" si="12"/>
        <v>14399.36</v>
      </c>
      <c r="X23" s="5">
        <f t="shared" si="12"/>
        <v>14399.36</v>
      </c>
      <c r="Y23" s="5">
        <f t="shared" si="12"/>
        <v>14399.36</v>
      </c>
      <c r="Z23" s="5">
        <f t="shared" si="12"/>
        <v>14399.36</v>
      </c>
      <c r="AA23" s="5">
        <f t="shared" si="12"/>
        <v>14399.36</v>
      </c>
      <c r="AB23" s="5">
        <f t="shared" si="12"/>
        <v>14399.36</v>
      </c>
      <c r="AC23" s="5">
        <f t="shared" si="12"/>
        <v>14399.36</v>
      </c>
      <c r="AD23" s="5">
        <f t="shared" si="12"/>
        <v>14399.36</v>
      </c>
      <c r="AE23" s="5">
        <f t="shared" si="12"/>
        <v>14399.36</v>
      </c>
      <c r="AF23" s="5">
        <f t="shared" si="12"/>
        <v>14399.36</v>
      </c>
      <c r="AG23" s="5">
        <f t="shared" si="12"/>
        <v>14399.36</v>
      </c>
      <c r="AH23" s="5">
        <f t="shared" si="11"/>
        <v>14399.36</v>
      </c>
      <c r="AI23" s="5">
        <f t="shared" si="11"/>
        <v>14399.36</v>
      </c>
      <c r="AJ23" s="5">
        <f t="shared" si="11"/>
        <v>14399.36</v>
      </c>
      <c r="AK23" s="5">
        <f t="shared" si="11"/>
        <v>14399.36</v>
      </c>
    </row>
    <row r="24" spans="1:37" ht="10.5" customHeight="1" x14ac:dyDescent="0.65">
      <c r="A24" s="6" t="s">
        <v>62</v>
      </c>
      <c r="B24" s="7">
        <v>74845</v>
      </c>
      <c r="C24" s="7">
        <v>58000</v>
      </c>
      <c r="D24" s="7">
        <v>43000</v>
      </c>
      <c r="E24" s="7">
        <v>28000</v>
      </c>
      <c r="F24" s="7">
        <v>13000</v>
      </c>
      <c r="G24" s="7">
        <v>2500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5">
        <f t="shared" si="12"/>
        <v>0</v>
      </c>
      <c r="S24" s="5">
        <f t="shared" si="11"/>
        <v>0</v>
      </c>
      <c r="T24" s="5">
        <f t="shared" si="11"/>
        <v>0</v>
      </c>
      <c r="U24" s="5">
        <f t="shared" si="11"/>
        <v>0</v>
      </c>
      <c r="V24" s="5">
        <f t="shared" si="11"/>
        <v>0</v>
      </c>
      <c r="W24" s="5">
        <f t="shared" si="11"/>
        <v>0</v>
      </c>
      <c r="X24" s="5">
        <f t="shared" si="11"/>
        <v>0</v>
      </c>
      <c r="Y24" s="5">
        <f t="shared" si="11"/>
        <v>0</v>
      </c>
      <c r="Z24" s="5">
        <f t="shared" si="11"/>
        <v>0</v>
      </c>
      <c r="AA24" s="5">
        <f t="shared" si="11"/>
        <v>0</v>
      </c>
      <c r="AB24" s="5">
        <f t="shared" si="11"/>
        <v>0</v>
      </c>
      <c r="AC24" s="5">
        <f t="shared" si="11"/>
        <v>0</v>
      </c>
      <c r="AD24" s="5">
        <f t="shared" si="11"/>
        <v>0</v>
      </c>
      <c r="AE24" s="5">
        <f t="shared" si="11"/>
        <v>0</v>
      </c>
      <c r="AF24" s="5">
        <f t="shared" si="11"/>
        <v>0</v>
      </c>
      <c r="AG24" s="5">
        <f t="shared" si="11"/>
        <v>0</v>
      </c>
      <c r="AH24" s="5">
        <f t="shared" si="11"/>
        <v>0</v>
      </c>
      <c r="AI24" s="5">
        <f t="shared" si="11"/>
        <v>0</v>
      </c>
      <c r="AJ24" s="5">
        <f t="shared" si="11"/>
        <v>0</v>
      </c>
      <c r="AK24" s="5">
        <f t="shared" si="11"/>
        <v>0</v>
      </c>
    </row>
    <row r="25" spans="1:37" ht="10.5" customHeight="1" x14ac:dyDescent="0.65">
      <c r="A25" s="6" t="s">
        <v>61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0.01</v>
      </c>
      <c r="P25" s="7">
        <v>0.01</v>
      </c>
      <c r="Q25" s="7">
        <v>1514.29</v>
      </c>
      <c r="R25" s="5">
        <f t="shared" si="12"/>
        <v>1514.29</v>
      </c>
      <c r="S25" s="5">
        <f t="shared" si="11"/>
        <v>1514.29</v>
      </c>
      <c r="T25" s="5">
        <f t="shared" si="11"/>
        <v>1514.29</v>
      </c>
      <c r="U25" s="5">
        <f t="shared" si="11"/>
        <v>1514.29</v>
      </c>
      <c r="V25" s="5">
        <f t="shared" si="11"/>
        <v>1514.29</v>
      </c>
      <c r="W25" s="5">
        <f t="shared" si="11"/>
        <v>1514.29</v>
      </c>
      <c r="X25" s="5">
        <f t="shared" si="11"/>
        <v>1514.29</v>
      </c>
      <c r="Y25" s="5">
        <f t="shared" si="11"/>
        <v>1514.29</v>
      </c>
      <c r="Z25" s="5">
        <f t="shared" si="11"/>
        <v>1514.29</v>
      </c>
      <c r="AA25" s="5">
        <f t="shared" si="11"/>
        <v>1514.29</v>
      </c>
      <c r="AB25" s="5">
        <f t="shared" si="11"/>
        <v>1514.29</v>
      </c>
      <c r="AC25" s="5">
        <f t="shared" si="11"/>
        <v>1514.29</v>
      </c>
      <c r="AD25" s="5">
        <f t="shared" si="11"/>
        <v>1514.29</v>
      </c>
      <c r="AE25" s="5">
        <f t="shared" si="11"/>
        <v>1514.29</v>
      </c>
      <c r="AF25" s="5">
        <f t="shared" si="11"/>
        <v>1514.29</v>
      </c>
      <c r="AG25" s="5">
        <f t="shared" si="11"/>
        <v>1514.29</v>
      </c>
      <c r="AH25" s="5">
        <f t="shared" si="11"/>
        <v>1514.29</v>
      </c>
      <c r="AI25" s="5">
        <f t="shared" si="11"/>
        <v>1514.29</v>
      </c>
      <c r="AJ25" s="5">
        <f t="shared" si="11"/>
        <v>1514.29</v>
      </c>
      <c r="AK25" s="5">
        <f t="shared" si="11"/>
        <v>1514.29</v>
      </c>
    </row>
    <row r="26" spans="1:37" ht="10.5" customHeight="1" x14ac:dyDescent="0.65">
      <c r="A26" s="6" t="s">
        <v>60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18.03</v>
      </c>
      <c r="L26" s="7">
        <v>18.03</v>
      </c>
      <c r="M26" s="7">
        <v>18.03</v>
      </c>
      <c r="N26" s="7">
        <v>17.899999999999999</v>
      </c>
      <c r="O26" s="7">
        <v>6.59</v>
      </c>
      <c r="P26" s="7">
        <v>0</v>
      </c>
      <c r="Q26" s="7">
        <v>0</v>
      </c>
      <c r="R26" s="5">
        <f t="shared" si="12"/>
        <v>0</v>
      </c>
      <c r="S26" s="5">
        <f t="shared" si="11"/>
        <v>0</v>
      </c>
      <c r="T26" s="5">
        <f t="shared" si="11"/>
        <v>0</v>
      </c>
      <c r="U26" s="5">
        <f t="shared" si="11"/>
        <v>0</v>
      </c>
      <c r="V26" s="5">
        <f t="shared" si="11"/>
        <v>0</v>
      </c>
      <c r="W26" s="5">
        <f t="shared" si="11"/>
        <v>0</v>
      </c>
      <c r="X26" s="5">
        <f t="shared" si="11"/>
        <v>0</v>
      </c>
      <c r="Y26" s="5">
        <f t="shared" si="11"/>
        <v>0</v>
      </c>
      <c r="Z26" s="5">
        <f t="shared" si="11"/>
        <v>0</v>
      </c>
      <c r="AA26" s="5">
        <f t="shared" si="11"/>
        <v>0</v>
      </c>
      <c r="AB26" s="5">
        <f t="shared" si="11"/>
        <v>0</v>
      </c>
      <c r="AC26" s="5">
        <f t="shared" si="11"/>
        <v>0</v>
      </c>
      <c r="AD26" s="5">
        <f t="shared" si="11"/>
        <v>0</v>
      </c>
      <c r="AE26" s="5">
        <f t="shared" si="11"/>
        <v>0</v>
      </c>
      <c r="AF26" s="5">
        <f t="shared" si="11"/>
        <v>0</v>
      </c>
      <c r="AG26" s="5">
        <f t="shared" si="11"/>
        <v>0</v>
      </c>
      <c r="AH26" s="5">
        <f t="shared" si="11"/>
        <v>0</v>
      </c>
      <c r="AI26" s="5">
        <f t="shared" si="11"/>
        <v>0</v>
      </c>
      <c r="AJ26" s="5">
        <f t="shared" si="11"/>
        <v>0</v>
      </c>
      <c r="AK26" s="5">
        <f t="shared" si="11"/>
        <v>0</v>
      </c>
    </row>
    <row r="27" spans="1:37" ht="10.5" customHeight="1" x14ac:dyDescent="0.65">
      <c r="A27" s="6" t="s">
        <v>59</v>
      </c>
      <c r="B27" s="7">
        <v>0</v>
      </c>
      <c r="C27" s="7">
        <v>0</v>
      </c>
      <c r="D27" s="7">
        <v>0</v>
      </c>
      <c r="E27" s="7">
        <v>714.21</v>
      </c>
      <c r="F27" s="7">
        <v>0</v>
      </c>
      <c r="G27" s="7">
        <v>0</v>
      </c>
      <c r="H27" s="7">
        <v>226.83</v>
      </c>
      <c r="I27" s="7">
        <v>0</v>
      </c>
      <c r="J27" s="7">
        <v>8443.77</v>
      </c>
      <c r="K27" s="7">
        <v>8921.43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5">
        <f t="shared" si="12"/>
        <v>0</v>
      </c>
      <c r="S27" s="5">
        <f t="shared" si="11"/>
        <v>0</v>
      </c>
      <c r="T27" s="5">
        <f t="shared" si="11"/>
        <v>0</v>
      </c>
      <c r="U27" s="5">
        <f t="shared" si="11"/>
        <v>0</v>
      </c>
      <c r="V27" s="5">
        <f t="shared" si="11"/>
        <v>0</v>
      </c>
      <c r="W27" s="5">
        <f t="shared" si="11"/>
        <v>0</v>
      </c>
      <c r="X27" s="5">
        <f t="shared" si="11"/>
        <v>0</v>
      </c>
      <c r="Y27" s="5">
        <f t="shared" si="11"/>
        <v>0</v>
      </c>
      <c r="Z27" s="5">
        <f t="shared" si="11"/>
        <v>0</v>
      </c>
      <c r="AA27" s="5">
        <f t="shared" si="11"/>
        <v>0</v>
      </c>
      <c r="AB27" s="5">
        <f t="shared" si="11"/>
        <v>0</v>
      </c>
      <c r="AC27" s="5">
        <f t="shared" si="11"/>
        <v>0</v>
      </c>
      <c r="AD27" s="5">
        <f t="shared" si="11"/>
        <v>0</v>
      </c>
      <c r="AE27" s="5">
        <f t="shared" si="11"/>
        <v>0</v>
      </c>
      <c r="AF27" s="5">
        <f t="shared" si="11"/>
        <v>0</v>
      </c>
      <c r="AG27" s="5">
        <f t="shared" si="11"/>
        <v>0</v>
      </c>
      <c r="AH27" s="5">
        <f t="shared" si="11"/>
        <v>0</v>
      </c>
      <c r="AI27" s="5">
        <f t="shared" si="11"/>
        <v>0</v>
      </c>
      <c r="AJ27" s="5">
        <f t="shared" si="11"/>
        <v>0</v>
      </c>
      <c r="AK27" s="5">
        <f t="shared" si="11"/>
        <v>0</v>
      </c>
    </row>
    <row r="28" spans="1:37" ht="10.5" customHeight="1" x14ac:dyDescent="0.65">
      <c r="A28" s="6" t="s">
        <v>58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0.24</v>
      </c>
      <c r="Q28" s="7">
        <v>0.24</v>
      </c>
      <c r="R28" s="5">
        <f t="shared" si="12"/>
        <v>0.24</v>
      </c>
      <c r="S28" s="5">
        <f t="shared" si="11"/>
        <v>0.24</v>
      </c>
      <c r="T28" s="5">
        <f t="shared" si="11"/>
        <v>0.24</v>
      </c>
      <c r="U28" s="5">
        <f t="shared" si="11"/>
        <v>0.24</v>
      </c>
      <c r="V28" s="5">
        <f t="shared" si="11"/>
        <v>0.24</v>
      </c>
      <c r="W28" s="5">
        <f t="shared" si="11"/>
        <v>0.24</v>
      </c>
      <c r="X28" s="5">
        <f t="shared" si="11"/>
        <v>0.24</v>
      </c>
      <c r="Y28" s="5">
        <f t="shared" si="11"/>
        <v>0.24</v>
      </c>
      <c r="Z28" s="5">
        <f t="shared" si="11"/>
        <v>0.24</v>
      </c>
      <c r="AA28" s="5">
        <f t="shared" si="11"/>
        <v>0.24</v>
      </c>
      <c r="AB28" s="5">
        <f t="shared" si="11"/>
        <v>0.24</v>
      </c>
      <c r="AC28" s="5">
        <f t="shared" si="11"/>
        <v>0.24</v>
      </c>
      <c r="AD28" s="5">
        <f t="shared" si="11"/>
        <v>0.24</v>
      </c>
      <c r="AE28" s="5">
        <f t="shared" si="11"/>
        <v>0.24</v>
      </c>
      <c r="AF28" s="5">
        <f t="shared" si="11"/>
        <v>0.24</v>
      </c>
      <c r="AG28" s="5">
        <f t="shared" si="11"/>
        <v>0.24</v>
      </c>
      <c r="AH28" s="5">
        <f t="shared" si="11"/>
        <v>0.24</v>
      </c>
      <c r="AI28" s="5">
        <f t="shared" si="11"/>
        <v>0.24</v>
      </c>
      <c r="AJ28" s="5">
        <f t="shared" si="11"/>
        <v>0.24</v>
      </c>
      <c r="AK28" s="5">
        <f t="shared" si="11"/>
        <v>0.24</v>
      </c>
    </row>
    <row r="29" spans="1:37" ht="10.5" customHeight="1" x14ac:dyDescent="0.65">
      <c r="A29" s="6" t="s">
        <v>57</v>
      </c>
      <c r="B29" s="7">
        <v>0</v>
      </c>
      <c r="C29" s="7">
        <v>0</v>
      </c>
      <c r="D29" s="7">
        <v>0</v>
      </c>
      <c r="E29" s="7">
        <v>1000</v>
      </c>
      <c r="F29" s="7">
        <v>1000</v>
      </c>
      <c r="G29" s="7">
        <v>1000</v>
      </c>
      <c r="H29" s="7">
        <v>3100</v>
      </c>
      <c r="I29" s="7">
        <v>1000</v>
      </c>
      <c r="J29" s="7">
        <v>1000</v>
      </c>
      <c r="K29" s="7">
        <v>1000</v>
      </c>
      <c r="L29" s="7">
        <v>2000</v>
      </c>
      <c r="M29" s="7">
        <v>1000</v>
      </c>
      <c r="N29" s="7">
        <v>0</v>
      </c>
      <c r="O29" s="7">
        <v>0</v>
      </c>
      <c r="P29" s="7">
        <v>0</v>
      </c>
      <c r="Q29" s="7">
        <v>0</v>
      </c>
      <c r="R29" s="5">
        <f t="shared" si="12"/>
        <v>0</v>
      </c>
      <c r="S29" s="5">
        <f t="shared" si="11"/>
        <v>0</v>
      </c>
      <c r="T29" s="5">
        <f t="shared" si="11"/>
        <v>0</v>
      </c>
      <c r="U29" s="5">
        <f t="shared" si="11"/>
        <v>0</v>
      </c>
      <c r="V29" s="5">
        <f t="shared" si="11"/>
        <v>0</v>
      </c>
      <c r="W29" s="5">
        <f t="shared" si="11"/>
        <v>0</v>
      </c>
      <c r="X29" s="5">
        <f t="shared" si="11"/>
        <v>0</v>
      </c>
      <c r="Y29" s="5">
        <f t="shared" si="11"/>
        <v>0</v>
      </c>
      <c r="Z29" s="5">
        <f t="shared" si="11"/>
        <v>0</v>
      </c>
      <c r="AA29" s="5">
        <f t="shared" si="11"/>
        <v>0</v>
      </c>
      <c r="AB29" s="5">
        <f t="shared" si="11"/>
        <v>0</v>
      </c>
      <c r="AC29" s="5">
        <f t="shared" si="11"/>
        <v>0</v>
      </c>
      <c r="AD29" s="5">
        <f t="shared" si="11"/>
        <v>0</v>
      </c>
      <c r="AE29" s="5">
        <f t="shared" si="11"/>
        <v>0</v>
      </c>
      <c r="AF29" s="5">
        <f t="shared" si="11"/>
        <v>0</v>
      </c>
      <c r="AG29" s="5">
        <f t="shared" si="11"/>
        <v>0</v>
      </c>
      <c r="AH29" s="5">
        <f t="shared" si="11"/>
        <v>0</v>
      </c>
      <c r="AI29" s="5">
        <f t="shared" si="11"/>
        <v>0</v>
      </c>
      <c r="AJ29" s="5">
        <f t="shared" si="11"/>
        <v>0</v>
      </c>
      <c r="AK29" s="5">
        <f t="shared" si="11"/>
        <v>0</v>
      </c>
    </row>
    <row r="30" spans="1:37" ht="10.5" customHeight="1" x14ac:dyDescent="0.65">
      <c r="A30" s="6" t="s">
        <v>56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41871.620000000003</v>
      </c>
      <c r="O30" s="7">
        <v>48957.94</v>
      </c>
      <c r="P30" s="7">
        <v>21962.46</v>
      </c>
      <c r="Q30" s="7">
        <v>19163.8</v>
      </c>
      <c r="R30" s="5">
        <f t="shared" si="12"/>
        <v>19163.8</v>
      </c>
      <c r="S30" s="5">
        <f t="shared" si="11"/>
        <v>19163.8</v>
      </c>
      <c r="T30" s="5">
        <f t="shared" si="11"/>
        <v>19163.8</v>
      </c>
      <c r="U30" s="5">
        <f t="shared" si="11"/>
        <v>19163.8</v>
      </c>
      <c r="V30" s="5">
        <f t="shared" si="11"/>
        <v>19163.8</v>
      </c>
      <c r="W30" s="5">
        <f t="shared" si="11"/>
        <v>19163.8</v>
      </c>
      <c r="X30" s="5">
        <f t="shared" si="11"/>
        <v>19163.8</v>
      </c>
      <c r="Y30" s="5">
        <f t="shared" si="11"/>
        <v>19163.8</v>
      </c>
      <c r="Z30" s="5">
        <f t="shared" si="11"/>
        <v>19163.8</v>
      </c>
      <c r="AA30" s="5">
        <f t="shared" si="11"/>
        <v>19163.8</v>
      </c>
      <c r="AB30" s="5">
        <f t="shared" si="11"/>
        <v>19163.8</v>
      </c>
      <c r="AC30" s="5">
        <f t="shared" si="11"/>
        <v>19163.8</v>
      </c>
      <c r="AD30" s="5">
        <f t="shared" si="11"/>
        <v>19163.8</v>
      </c>
      <c r="AE30" s="5">
        <f t="shared" si="11"/>
        <v>19163.8</v>
      </c>
      <c r="AF30" s="5">
        <f t="shared" si="11"/>
        <v>19163.8</v>
      </c>
      <c r="AG30" s="5">
        <f t="shared" si="11"/>
        <v>19163.8</v>
      </c>
      <c r="AH30" s="5">
        <f t="shared" si="11"/>
        <v>19163.8</v>
      </c>
      <c r="AI30" s="5">
        <f t="shared" si="11"/>
        <v>19163.8</v>
      </c>
      <c r="AJ30" s="5">
        <f t="shared" si="11"/>
        <v>19163.8</v>
      </c>
      <c r="AK30" s="5">
        <f t="shared" si="11"/>
        <v>19163.8</v>
      </c>
    </row>
    <row r="31" spans="1:37" ht="10.5" customHeight="1" x14ac:dyDescent="0.65">
      <c r="A31" s="6" t="s">
        <v>273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14630.31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5">
        <f t="shared" si="12"/>
        <v>0</v>
      </c>
      <c r="S31" s="5">
        <f t="shared" si="11"/>
        <v>0</v>
      </c>
      <c r="T31" s="5">
        <f t="shared" si="11"/>
        <v>0</v>
      </c>
      <c r="U31" s="5">
        <f t="shared" si="11"/>
        <v>0</v>
      </c>
      <c r="V31" s="5">
        <f t="shared" si="11"/>
        <v>0</v>
      </c>
      <c r="W31" s="5">
        <f t="shared" si="11"/>
        <v>0</v>
      </c>
      <c r="X31" s="5">
        <f t="shared" si="11"/>
        <v>0</v>
      </c>
      <c r="Y31" s="5">
        <f t="shared" si="11"/>
        <v>0</v>
      </c>
      <c r="Z31" s="5">
        <f t="shared" si="11"/>
        <v>0</v>
      </c>
      <c r="AA31" s="5">
        <f t="shared" si="11"/>
        <v>0</v>
      </c>
      <c r="AB31" s="5">
        <f t="shared" si="11"/>
        <v>0</v>
      </c>
      <c r="AC31" s="5">
        <f t="shared" si="11"/>
        <v>0</v>
      </c>
      <c r="AD31" s="5">
        <f t="shared" si="11"/>
        <v>0</v>
      </c>
      <c r="AE31" s="5">
        <f t="shared" si="11"/>
        <v>0</v>
      </c>
      <c r="AF31" s="5">
        <f t="shared" si="11"/>
        <v>0</v>
      </c>
      <c r="AG31" s="5">
        <f t="shared" si="11"/>
        <v>0</v>
      </c>
      <c r="AH31" s="5">
        <f t="shared" si="11"/>
        <v>0</v>
      </c>
      <c r="AI31" s="5">
        <f t="shared" si="11"/>
        <v>0</v>
      </c>
      <c r="AJ31" s="5">
        <f t="shared" si="11"/>
        <v>0</v>
      </c>
      <c r="AK31" s="5">
        <f t="shared" si="11"/>
        <v>0</v>
      </c>
    </row>
    <row r="32" spans="1:37" ht="10.5" customHeight="1" x14ac:dyDescent="0.65">
      <c r="A32" s="6" t="s">
        <v>274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216.76</v>
      </c>
      <c r="M32" s="7">
        <v>940.6</v>
      </c>
      <c r="N32" s="7">
        <v>0</v>
      </c>
      <c r="O32" s="7">
        <v>0</v>
      </c>
      <c r="P32" s="7">
        <v>0</v>
      </c>
      <c r="Q32" s="7">
        <v>0</v>
      </c>
      <c r="R32" s="5">
        <f t="shared" si="12"/>
        <v>0</v>
      </c>
      <c r="S32" s="5">
        <f t="shared" si="11"/>
        <v>0</v>
      </c>
      <c r="T32" s="5">
        <f t="shared" si="11"/>
        <v>0</v>
      </c>
      <c r="U32" s="5">
        <f t="shared" si="11"/>
        <v>0</v>
      </c>
      <c r="V32" s="5">
        <f t="shared" si="11"/>
        <v>0</v>
      </c>
      <c r="W32" s="5">
        <f t="shared" si="11"/>
        <v>0</v>
      </c>
      <c r="X32" s="5">
        <f t="shared" si="11"/>
        <v>0</v>
      </c>
      <c r="Y32" s="5">
        <f t="shared" si="11"/>
        <v>0</v>
      </c>
      <c r="Z32" s="5">
        <f t="shared" si="11"/>
        <v>0</v>
      </c>
      <c r="AA32" s="5">
        <f t="shared" si="11"/>
        <v>0</v>
      </c>
      <c r="AB32" s="5">
        <f t="shared" si="11"/>
        <v>0</v>
      </c>
      <c r="AC32" s="5">
        <f t="shared" si="11"/>
        <v>0</v>
      </c>
      <c r="AD32" s="5">
        <f t="shared" si="11"/>
        <v>0</v>
      </c>
      <c r="AE32" s="5">
        <f t="shared" si="11"/>
        <v>0</v>
      </c>
      <c r="AF32" s="5">
        <f t="shared" si="11"/>
        <v>0</v>
      </c>
      <c r="AG32" s="5">
        <f t="shared" si="11"/>
        <v>0</v>
      </c>
      <c r="AH32" s="5">
        <f t="shared" si="11"/>
        <v>0</v>
      </c>
      <c r="AI32" s="5">
        <f t="shared" si="11"/>
        <v>0</v>
      </c>
      <c r="AJ32" s="5">
        <f t="shared" si="11"/>
        <v>0</v>
      </c>
      <c r="AK32" s="5">
        <f t="shared" si="11"/>
        <v>0</v>
      </c>
    </row>
    <row r="33" spans="1:37" ht="10.5" customHeight="1" x14ac:dyDescent="0.65">
      <c r="A33" s="8" t="s">
        <v>55</v>
      </c>
      <c r="B33" s="9">
        <f t="shared" ref="B33:Q33" si="13">SUM(B22:B32)</f>
        <v>74845</v>
      </c>
      <c r="C33" s="9">
        <f t="shared" si="13"/>
        <v>58000</v>
      </c>
      <c r="D33" s="9">
        <f t="shared" si="13"/>
        <v>43000</v>
      </c>
      <c r="E33" s="9">
        <f t="shared" si="13"/>
        <v>83003.210000000006</v>
      </c>
      <c r="F33" s="9">
        <f t="shared" si="13"/>
        <v>20803.689999999999</v>
      </c>
      <c r="G33" s="9">
        <f t="shared" si="13"/>
        <v>32283.62</v>
      </c>
      <c r="H33" s="9">
        <f t="shared" si="13"/>
        <v>32877.4</v>
      </c>
      <c r="I33" s="9">
        <f t="shared" si="13"/>
        <v>79053.070000000007</v>
      </c>
      <c r="J33" s="9">
        <f t="shared" si="13"/>
        <v>217689.25</v>
      </c>
      <c r="K33" s="9">
        <f t="shared" si="13"/>
        <v>91884.23000000001</v>
      </c>
      <c r="L33" s="9">
        <f t="shared" si="13"/>
        <v>26170.579999999998</v>
      </c>
      <c r="M33" s="9">
        <f t="shared" si="13"/>
        <v>8871.82</v>
      </c>
      <c r="N33" s="9">
        <f t="shared" si="13"/>
        <v>66003.510000000009</v>
      </c>
      <c r="O33" s="9">
        <f t="shared" si="13"/>
        <v>112436.37</v>
      </c>
      <c r="P33" s="9">
        <f t="shared" si="13"/>
        <v>105896.03</v>
      </c>
      <c r="Q33" s="9">
        <f t="shared" si="13"/>
        <v>88969.62000000001</v>
      </c>
      <c r="R33" s="9">
        <f t="shared" ref="R33:AK33" si="14">SUM(R22:R32)</f>
        <v>88969.62000000001</v>
      </c>
      <c r="S33" s="9">
        <f t="shared" si="14"/>
        <v>88969.62000000001</v>
      </c>
      <c r="T33" s="9">
        <f t="shared" si="14"/>
        <v>88969.62000000001</v>
      </c>
      <c r="U33" s="9">
        <f t="shared" si="14"/>
        <v>88969.62000000001</v>
      </c>
      <c r="V33" s="9">
        <f t="shared" si="14"/>
        <v>88969.62000000001</v>
      </c>
      <c r="W33" s="9">
        <f t="shared" si="14"/>
        <v>88969.62000000001</v>
      </c>
      <c r="X33" s="9">
        <f t="shared" si="14"/>
        <v>88969.62000000001</v>
      </c>
      <c r="Y33" s="9">
        <f t="shared" si="14"/>
        <v>88969.62000000001</v>
      </c>
      <c r="Z33" s="9">
        <f t="shared" si="14"/>
        <v>88969.62000000001</v>
      </c>
      <c r="AA33" s="9">
        <f t="shared" si="14"/>
        <v>88969.62000000001</v>
      </c>
      <c r="AB33" s="9">
        <f t="shared" si="14"/>
        <v>88969.62000000001</v>
      </c>
      <c r="AC33" s="9">
        <f t="shared" si="14"/>
        <v>88969.62000000001</v>
      </c>
      <c r="AD33" s="9">
        <f t="shared" si="14"/>
        <v>88969.62000000001</v>
      </c>
      <c r="AE33" s="9">
        <f t="shared" si="14"/>
        <v>88969.62000000001</v>
      </c>
      <c r="AF33" s="9">
        <f t="shared" si="14"/>
        <v>88969.62000000001</v>
      </c>
      <c r="AG33" s="9">
        <f t="shared" si="14"/>
        <v>88969.62000000001</v>
      </c>
      <c r="AH33" s="9">
        <f t="shared" si="14"/>
        <v>88969.62000000001</v>
      </c>
      <c r="AI33" s="9">
        <f t="shared" si="14"/>
        <v>88969.62000000001</v>
      </c>
      <c r="AJ33" s="9">
        <f t="shared" si="14"/>
        <v>88969.62000000001</v>
      </c>
      <c r="AK33" s="9">
        <f t="shared" si="14"/>
        <v>88969.62000000001</v>
      </c>
    </row>
    <row r="34" spans="1:37" ht="13.4" customHeight="1" x14ac:dyDescent="0.65"/>
    <row r="35" spans="1:37" ht="10.5" customHeight="1" x14ac:dyDescent="0.65">
      <c r="A35" s="10" t="s">
        <v>54</v>
      </c>
      <c r="B35" s="11">
        <f t="shared" ref="B35:Q35" si="15">(B19 - B33)</f>
        <v>-68928.05</v>
      </c>
      <c r="C35" s="11">
        <f t="shared" si="15"/>
        <v>334850.51</v>
      </c>
      <c r="D35" s="11">
        <f t="shared" si="15"/>
        <v>211938.4</v>
      </c>
      <c r="E35" s="11">
        <f t="shared" si="15"/>
        <v>95339.089999999982</v>
      </c>
      <c r="F35" s="11">
        <f t="shared" si="15"/>
        <v>276770.25</v>
      </c>
      <c r="G35" s="11">
        <f t="shared" si="15"/>
        <v>494400.47</v>
      </c>
      <c r="H35" s="11">
        <f t="shared" si="15"/>
        <v>375709.45</v>
      </c>
      <c r="I35" s="11">
        <f t="shared" si="15"/>
        <v>206823.96999999997</v>
      </c>
      <c r="J35" s="11">
        <f t="shared" si="15"/>
        <v>245982.45</v>
      </c>
      <c r="K35" s="11">
        <f t="shared" si="15"/>
        <v>698439.57000000007</v>
      </c>
      <c r="L35" s="11">
        <f t="shared" si="15"/>
        <v>479276.02</v>
      </c>
      <c r="M35" s="11">
        <f t="shared" si="15"/>
        <v>227285.7</v>
      </c>
      <c r="N35" s="11">
        <f t="shared" si="15"/>
        <v>142881.66999999998</v>
      </c>
      <c r="O35" s="11">
        <f t="shared" si="15"/>
        <v>71560.489999999991</v>
      </c>
      <c r="P35" s="11">
        <f t="shared" si="15"/>
        <v>498295.73</v>
      </c>
      <c r="Q35" s="11">
        <f t="shared" si="15"/>
        <v>357819.58</v>
      </c>
      <c r="R35" s="11">
        <f t="shared" ref="R35:AK35" si="16">(R19 - R33)</f>
        <v>120291.19904067605</v>
      </c>
      <c r="S35" s="11">
        <f t="shared" si="16"/>
        <v>2994053.6129423082</v>
      </c>
      <c r="T35" s="11">
        <f t="shared" si="16"/>
        <v>2823706.7774541508</v>
      </c>
      <c r="U35" s="11">
        <f t="shared" si="16"/>
        <v>2649153.9324619025</v>
      </c>
      <c r="V35" s="11">
        <f t="shared" si="16"/>
        <v>2537575.4019924589</v>
      </c>
      <c r="W35" s="11">
        <f t="shared" si="16"/>
        <v>2384874.9211761015</v>
      </c>
      <c r="X35" s="11">
        <f t="shared" si="16"/>
        <v>2343306.2556514037</v>
      </c>
      <c r="Y35" s="11">
        <f t="shared" si="16"/>
        <v>2001821.2279207997</v>
      </c>
      <c r="Z35" s="11">
        <f t="shared" si="16"/>
        <v>1601752.4566797165</v>
      </c>
      <c r="AA35" s="11">
        <f t="shared" si="16"/>
        <v>1086607.7752793154</v>
      </c>
      <c r="AB35" s="11">
        <f t="shared" si="16"/>
        <v>1206178.4825307739</v>
      </c>
      <c r="AC35" s="11">
        <f t="shared" si="16"/>
        <v>1979152.630697136</v>
      </c>
      <c r="AD35" s="11">
        <f t="shared" si="16"/>
        <v>3430988.6877239938</v>
      </c>
      <c r="AE35" s="11">
        <f t="shared" si="16"/>
        <v>5533901.324737235</v>
      </c>
      <c r="AF35" s="11">
        <f t="shared" si="16"/>
        <v>8365441.1468707351</v>
      </c>
      <c r="AG35" s="11">
        <f t="shared" si="16"/>
        <v>11965717.271697637</v>
      </c>
      <c r="AH35" s="11">
        <f t="shared" si="16"/>
        <v>16298622.923792928</v>
      </c>
      <c r="AI35" s="11">
        <f t="shared" si="16"/>
        <v>21461402.598955106</v>
      </c>
      <c r="AJ35" s="11">
        <f t="shared" si="16"/>
        <v>27522846.540646631</v>
      </c>
      <c r="AK35" s="11">
        <f t="shared" si="16"/>
        <v>34530374.390320122</v>
      </c>
    </row>
    <row r="36" spans="1:37" ht="13.4" customHeight="1" x14ac:dyDescent="0.65"/>
    <row r="37" spans="1:37" ht="10.5" customHeight="1" x14ac:dyDescent="0.65">
      <c r="A37" s="10" t="s">
        <v>53</v>
      </c>
      <c r="B37" s="11">
        <f t="shared" ref="B37:Q37" si="17">(B9 + B35)</f>
        <v>-68928.05</v>
      </c>
      <c r="C37" s="11">
        <f t="shared" si="17"/>
        <v>339011.05</v>
      </c>
      <c r="D37" s="11">
        <f t="shared" si="17"/>
        <v>216105.85</v>
      </c>
      <c r="E37" s="11">
        <f t="shared" si="17"/>
        <v>102212.29999999999</v>
      </c>
      <c r="F37" s="11">
        <f t="shared" si="17"/>
        <v>283959.28999999998</v>
      </c>
      <c r="G37" s="11">
        <f t="shared" si="17"/>
        <v>502148.97</v>
      </c>
      <c r="H37" s="11">
        <f t="shared" si="17"/>
        <v>384345.99</v>
      </c>
      <c r="I37" s="11">
        <f t="shared" si="17"/>
        <v>216282.50999999998</v>
      </c>
      <c r="J37" s="11">
        <f t="shared" si="17"/>
        <v>256371.09000000003</v>
      </c>
      <c r="K37" s="11">
        <f t="shared" si="17"/>
        <v>709522.49000000011</v>
      </c>
      <c r="L37" s="11">
        <f t="shared" si="17"/>
        <v>490560.45</v>
      </c>
      <c r="M37" s="11">
        <f t="shared" si="17"/>
        <v>227463.16</v>
      </c>
      <c r="N37" s="11">
        <f t="shared" si="17"/>
        <v>143069.12</v>
      </c>
      <c r="O37" s="11">
        <f t="shared" si="17"/>
        <v>71747.939999999988</v>
      </c>
      <c r="P37" s="11">
        <f t="shared" si="17"/>
        <v>498483.18</v>
      </c>
      <c r="Q37" s="11">
        <f t="shared" si="17"/>
        <v>357962.57</v>
      </c>
      <c r="R37" s="11">
        <f t="shared" ref="R37:AK37" si="18">(R9 + R35)</f>
        <v>120434.18904067605</v>
      </c>
      <c r="S37" s="11">
        <f t="shared" si="18"/>
        <v>2994196.6029423084</v>
      </c>
      <c r="T37" s="11">
        <f t="shared" si="18"/>
        <v>2823849.7674541511</v>
      </c>
      <c r="U37" s="11">
        <f t="shared" si="18"/>
        <v>2649296.9224619027</v>
      </c>
      <c r="V37" s="11">
        <f t="shared" si="18"/>
        <v>2537718.3919924591</v>
      </c>
      <c r="W37" s="11">
        <f t="shared" si="18"/>
        <v>2385017.9111761018</v>
      </c>
      <c r="X37" s="11">
        <f t="shared" si="18"/>
        <v>2343449.2456514039</v>
      </c>
      <c r="Y37" s="11">
        <f t="shared" si="18"/>
        <v>2001964.2179207997</v>
      </c>
      <c r="Z37" s="11">
        <f t="shared" si="18"/>
        <v>1601895.4466797165</v>
      </c>
      <c r="AA37" s="11">
        <f t="shared" si="18"/>
        <v>1086750.7652793154</v>
      </c>
      <c r="AB37" s="11">
        <f t="shared" si="18"/>
        <v>1206321.4725307738</v>
      </c>
      <c r="AC37" s="11">
        <f t="shared" si="18"/>
        <v>1979295.620697136</v>
      </c>
      <c r="AD37" s="11">
        <f t="shared" si="18"/>
        <v>3431131.677723994</v>
      </c>
      <c r="AE37" s="11">
        <f t="shared" si="18"/>
        <v>5534044.3147372352</v>
      </c>
      <c r="AF37" s="11">
        <f t="shared" si="18"/>
        <v>8365584.1368707353</v>
      </c>
      <c r="AG37" s="11">
        <f t="shared" si="18"/>
        <v>11965860.261697637</v>
      </c>
      <c r="AH37" s="11">
        <f t="shared" si="18"/>
        <v>16298765.913792929</v>
      </c>
      <c r="AI37" s="11">
        <f t="shared" si="18"/>
        <v>21461545.588955104</v>
      </c>
      <c r="AJ37" s="11">
        <f t="shared" si="18"/>
        <v>27522989.53064663</v>
      </c>
      <c r="AK37" s="11">
        <f t="shared" si="18"/>
        <v>34530517.380320124</v>
      </c>
    </row>
    <row r="38" spans="1:37" ht="13.4" customHeight="1" x14ac:dyDescent="0.65"/>
    <row r="39" spans="1:37" ht="13" customHeight="1" x14ac:dyDescent="0.65">
      <c r="A39" s="87" t="s">
        <v>52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</row>
    <row r="40" spans="1:37" ht="10.5" customHeight="1" x14ac:dyDescent="0.65">
      <c r="A40" s="4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35000</v>
      </c>
      <c r="H40" s="5">
        <v>35000</v>
      </c>
      <c r="I40" s="5">
        <v>35000</v>
      </c>
      <c r="J40" s="5">
        <v>35000</v>
      </c>
      <c r="K40" s="5">
        <v>34342.36</v>
      </c>
      <c r="L40" s="5">
        <v>32379.21</v>
      </c>
      <c r="M40" s="5">
        <v>30429.25</v>
      </c>
      <c r="N40" s="5">
        <v>28492.16</v>
      </c>
      <c r="O40" s="5">
        <v>26562.05</v>
      </c>
      <c r="P40" s="5">
        <v>24643.01</v>
      </c>
      <c r="Q40" s="5">
        <v>23916.67</v>
      </c>
      <c r="R40" s="5">
        <f>Q40</f>
        <v>23916.67</v>
      </c>
      <c r="S40" s="5">
        <f t="shared" ref="S40:AK40" si="19">R40</f>
        <v>23916.67</v>
      </c>
      <c r="T40" s="5">
        <f t="shared" si="19"/>
        <v>23916.67</v>
      </c>
      <c r="U40" s="5">
        <f t="shared" si="19"/>
        <v>23916.67</v>
      </c>
      <c r="V40" s="5">
        <f t="shared" si="19"/>
        <v>23916.67</v>
      </c>
      <c r="W40" s="5">
        <f t="shared" si="19"/>
        <v>23916.67</v>
      </c>
      <c r="X40" s="5">
        <f t="shared" si="19"/>
        <v>23916.67</v>
      </c>
      <c r="Y40" s="5">
        <f t="shared" si="19"/>
        <v>23916.67</v>
      </c>
      <c r="Z40" s="5">
        <f t="shared" si="19"/>
        <v>23916.67</v>
      </c>
      <c r="AA40" s="5">
        <f t="shared" si="19"/>
        <v>23916.67</v>
      </c>
      <c r="AB40" s="5">
        <f t="shared" si="19"/>
        <v>23916.67</v>
      </c>
      <c r="AC40" s="5">
        <f t="shared" si="19"/>
        <v>23916.67</v>
      </c>
      <c r="AD40" s="5">
        <f t="shared" si="19"/>
        <v>23916.67</v>
      </c>
      <c r="AE40" s="5">
        <f t="shared" si="19"/>
        <v>23916.67</v>
      </c>
      <c r="AF40" s="5">
        <f t="shared" si="19"/>
        <v>23916.67</v>
      </c>
      <c r="AG40" s="5">
        <f t="shared" si="19"/>
        <v>23916.67</v>
      </c>
      <c r="AH40" s="5">
        <f t="shared" si="19"/>
        <v>23916.67</v>
      </c>
      <c r="AI40" s="5">
        <f t="shared" si="19"/>
        <v>23916.67</v>
      </c>
      <c r="AJ40" s="5">
        <f t="shared" si="19"/>
        <v>23916.67</v>
      </c>
      <c r="AK40" s="5">
        <f t="shared" si="19"/>
        <v>23916.67</v>
      </c>
    </row>
    <row r="41" spans="1:37" ht="10.5" customHeight="1" x14ac:dyDescent="0.65">
      <c r="A41" s="6" t="s">
        <v>50</v>
      </c>
      <c r="B41" s="7">
        <v>0</v>
      </c>
      <c r="C41" s="7">
        <v>0</v>
      </c>
      <c r="D41" s="7">
        <v>0</v>
      </c>
      <c r="E41" s="7">
        <v>0</v>
      </c>
      <c r="F41" s="7">
        <v>284600</v>
      </c>
      <c r="G41" s="7">
        <v>125000</v>
      </c>
      <c r="H41" s="7">
        <v>0</v>
      </c>
      <c r="I41" s="7">
        <v>0</v>
      </c>
      <c r="J41" s="7">
        <v>101616</v>
      </c>
      <c r="K41" s="7">
        <v>445715.76</v>
      </c>
      <c r="L41" s="7">
        <v>0</v>
      </c>
      <c r="M41" s="7">
        <v>0</v>
      </c>
      <c r="N41" s="7">
        <v>34047.980000000003</v>
      </c>
      <c r="O41" s="7">
        <v>29499.37</v>
      </c>
      <c r="P41" s="7">
        <v>675396.55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</row>
    <row r="42" spans="1:37" ht="10.5" customHeight="1" x14ac:dyDescent="0.65">
      <c r="A42" s="8" t="s">
        <v>49</v>
      </c>
      <c r="B42" s="9">
        <f t="shared" ref="B42:Q42" si="20">SUM(B40:B41)</f>
        <v>0</v>
      </c>
      <c r="C42" s="9">
        <f t="shared" si="20"/>
        <v>0</v>
      </c>
      <c r="D42" s="9">
        <f t="shared" si="20"/>
        <v>0</v>
      </c>
      <c r="E42" s="9">
        <f t="shared" si="20"/>
        <v>0</v>
      </c>
      <c r="F42" s="9">
        <f t="shared" si="20"/>
        <v>284600</v>
      </c>
      <c r="G42" s="9">
        <f t="shared" si="20"/>
        <v>160000</v>
      </c>
      <c r="H42" s="9">
        <f t="shared" si="20"/>
        <v>35000</v>
      </c>
      <c r="I42" s="9">
        <f t="shared" si="20"/>
        <v>35000</v>
      </c>
      <c r="J42" s="9">
        <f t="shared" si="20"/>
        <v>136616</v>
      </c>
      <c r="K42" s="9">
        <f t="shared" si="20"/>
        <v>480058.12</v>
      </c>
      <c r="L42" s="9">
        <f t="shared" si="20"/>
        <v>32379.21</v>
      </c>
      <c r="M42" s="9">
        <f t="shared" si="20"/>
        <v>30429.25</v>
      </c>
      <c r="N42" s="9">
        <f t="shared" si="20"/>
        <v>62540.14</v>
      </c>
      <c r="O42" s="9">
        <f t="shared" si="20"/>
        <v>56061.42</v>
      </c>
      <c r="P42" s="9">
        <f t="shared" si="20"/>
        <v>700039.56</v>
      </c>
      <c r="Q42" s="9">
        <f t="shared" si="20"/>
        <v>23916.67</v>
      </c>
      <c r="R42" s="9">
        <f t="shared" ref="R42:AK42" si="21">SUM(R40:R41)</f>
        <v>23916.67</v>
      </c>
      <c r="S42" s="9">
        <f t="shared" si="21"/>
        <v>23916.67</v>
      </c>
      <c r="T42" s="9">
        <f t="shared" si="21"/>
        <v>23916.67</v>
      </c>
      <c r="U42" s="9">
        <f t="shared" si="21"/>
        <v>23916.67</v>
      </c>
      <c r="V42" s="9">
        <f t="shared" si="21"/>
        <v>23916.67</v>
      </c>
      <c r="W42" s="9">
        <f t="shared" si="21"/>
        <v>23916.67</v>
      </c>
      <c r="X42" s="9">
        <f t="shared" si="21"/>
        <v>23916.67</v>
      </c>
      <c r="Y42" s="9">
        <f t="shared" si="21"/>
        <v>23916.67</v>
      </c>
      <c r="Z42" s="9">
        <f t="shared" si="21"/>
        <v>23916.67</v>
      </c>
      <c r="AA42" s="9">
        <f t="shared" si="21"/>
        <v>23916.67</v>
      </c>
      <c r="AB42" s="9">
        <f t="shared" si="21"/>
        <v>23916.67</v>
      </c>
      <c r="AC42" s="9">
        <f t="shared" si="21"/>
        <v>23916.67</v>
      </c>
      <c r="AD42" s="9">
        <f t="shared" si="21"/>
        <v>23916.67</v>
      </c>
      <c r="AE42" s="9">
        <f t="shared" si="21"/>
        <v>23916.67</v>
      </c>
      <c r="AF42" s="9">
        <f t="shared" si="21"/>
        <v>23916.67</v>
      </c>
      <c r="AG42" s="9">
        <f t="shared" si="21"/>
        <v>23916.67</v>
      </c>
      <c r="AH42" s="9">
        <f t="shared" si="21"/>
        <v>23916.67</v>
      </c>
      <c r="AI42" s="9">
        <f t="shared" si="21"/>
        <v>23916.67</v>
      </c>
      <c r="AJ42" s="9">
        <f t="shared" si="21"/>
        <v>23916.67</v>
      </c>
      <c r="AK42" s="9">
        <f t="shared" si="21"/>
        <v>23916.67</v>
      </c>
    </row>
    <row r="43" spans="1:37" ht="13.4" customHeight="1" x14ac:dyDescent="0.65"/>
    <row r="44" spans="1:37" ht="10.5" customHeight="1" x14ac:dyDescent="0.65">
      <c r="A44" s="10" t="s">
        <v>48</v>
      </c>
      <c r="B44" s="11">
        <f t="shared" ref="B44:AK44" si="22">(B37 - (B42 + 0))</f>
        <v>-68928.05</v>
      </c>
      <c r="C44" s="11">
        <f t="shared" si="22"/>
        <v>339011.05</v>
      </c>
      <c r="D44" s="11">
        <f t="shared" si="22"/>
        <v>216105.85</v>
      </c>
      <c r="E44" s="11">
        <f t="shared" si="22"/>
        <v>102212.29999999999</v>
      </c>
      <c r="F44" s="11">
        <f t="shared" si="22"/>
        <v>-640.71000000002095</v>
      </c>
      <c r="G44" s="11">
        <f t="shared" si="22"/>
        <v>342148.97</v>
      </c>
      <c r="H44" s="11">
        <f t="shared" si="22"/>
        <v>349345.99</v>
      </c>
      <c r="I44" s="11">
        <f t="shared" si="22"/>
        <v>181282.50999999998</v>
      </c>
      <c r="J44" s="11">
        <f t="shared" si="22"/>
        <v>119755.09000000003</v>
      </c>
      <c r="K44" s="11">
        <f t="shared" si="22"/>
        <v>229464.37000000011</v>
      </c>
      <c r="L44" s="11">
        <f t="shared" si="22"/>
        <v>458181.24</v>
      </c>
      <c r="M44" s="11">
        <f t="shared" si="22"/>
        <v>197033.91</v>
      </c>
      <c r="N44" s="11">
        <f t="shared" si="22"/>
        <v>80528.98</v>
      </c>
      <c r="O44" s="11">
        <f t="shared" si="22"/>
        <v>15686.51999999999</v>
      </c>
      <c r="P44" s="11">
        <f t="shared" si="22"/>
        <v>-201556.38000000006</v>
      </c>
      <c r="Q44" s="11">
        <f t="shared" si="22"/>
        <v>334045.90000000002</v>
      </c>
      <c r="R44" s="11">
        <f t="shared" si="22"/>
        <v>96517.519040676052</v>
      </c>
      <c r="S44" s="11">
        <f t="shared" si="22"/>
        <v>2970279.9329423085</v>
      </c>
      <c r="T44" s="11">
        <f t="shared" si="22"/>
        <v>2799933.0974541511</v>
      </c>
      <c r="U44" s="11">
        <f t="shared" si="22"/>
        <v>2625380.2524619028</v>
      </c>
      <c r="V44" s="11">
        <f t="shared" si="22"/>
        <v>2513801.7219924591</v>
      </c>
      <c r="W44" s="11">
        <f t="shared" si="22"/>
        <v>2361101.2411761018</v>
      </c>
      <c r="X44" s="11">
        <f t="shared" si="22"/>
        <v>2319532.575651404</v>
      </c>
      <c r="Y44" s="11">
        <f t="shared" si="22"/>
        <v>1978047.5479207998</v>
      </c>
      <c r="Z44" s="11">
        <f t="shared" si="22"/>
        <v>1577978.7766797165</v>
      </c>
      <c r="AA44" s="11">
        <f t="shared" si="22"/>
        <v>1062834.0952793155</v>
      </c>
      <c r="AB44" s="11">
        <f t="shared" si="22"/>
        <v>1182404.8025307739</v>
      </c>
      <c r="AC44" s="11">
        <f t="shared" si="22"/>
        <v>1955378.9506971361</v>
      </c>
      <c r="AD44" s="11">
        <f t="shared" si="22"/>
        <v>3407215.0077239941</v>
      </c>
      <c r="AE44" s="11">
        <f t="shared" si="22"/>
        <v>5510127.6447372353</v>
      </c>
      <c r="AF44" s="11">
        <f t="shared" si="22"/>
        <v>8341667.4668707354</v>
      </c>
      <c r="AG44" s="11">
        <f t="shared" si="22"/>
        <v>11941943.591697637</v>
      </c>
      <c r="AH44" s="11">
        <f t="shared" si="22"/>
        <v>16274849.243792929</v>
      </c>
      <c r="AI44" s="11">
        <f t="shared" si="22"/>
        <v>21437628.918955103</v>
      </c>
      <c r="AJ44" s="11">
        <f t="shared" si="22"/>
        <v>27499072.860646628</v>
      </c>
      <c r="AK44" s="11">
        <f t="shared" si="22"/>
        <v>34506600.710320123</v>
      </c>
    </row>
    <row r="45" spans="1:37" ht="13.4" customHeight="1" x14ac:dyDescent="0.65"/>
    <row r="46" spans="1:37" ht="13" customHeight="1" x14ac:dyDescent="0.65">
      <c r="A46" s="35" t="s">
        <v>47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37" ht="10.5" customHeight="1" x14ac:dyDescent="0.65">
      <c r="A47" s="4" t="s">
        <v>46</v>
      </c>
      <c r="B47" s="5">
        <v>0</v>
      </c>
      <c r="C47" s="5">
        <v>-86056.63</v>
      </c>
      <c r="D47" s="5">
        <v>-208961.83</v>
      </c>
      <c r="E47" s="5">
        <v>-322855.38</v>
      </c>
      <c r="F47" s="5">
        <v>-102853.01</v>
      </c>
      <c r="G47" s="5">
        <v>-209663.33</v>
      </c>
      <c r="H47" s="5">
        <v>-347466.31</v>
      </c>
      <c r="I47" s="5">
        <v>-515529.79</v>
      </c>
      <c r="J47" s="5">
        <v>-61527.42</v>
      </c>
      <c r="K47" s="5">
        <v>-228418.14</v>
      </c>
      <c r="L47" s="5">
        <v>-465417.75</v>
      </c>
      <c r="M47" s="5">
        <v>-726565.08</v>
      </c>
      <c r="N47" s="5">
        <v>-116504.93</v>
      </c>
      <c r="O47" s="5">
        <v>-417414.39</v>
      </c>
      <c r="P47" s="5">
        <v>-634657.29</v>
      </c>
      <c r="Q47" s="5">
        <v>-874936.36</v>
      </c>
      <c r="R47" s="42">
        <f>Q47+'P&amp;L-Q'!S41</f>
        <v>-1112464.7409593239</v>
      </c>
      <c r="S47" s="42">
        <f>R47+'P&amp;L-Q'!T41</f>
        <v>-1238702.3270576925</v>
      </c>
      <c r="T47" s="42">
        <f>S47+'P&amp;L-Q'!U41</f>
        <v>-1409049.1625458496</v>
      </c>
      <c r="U47" s="42">
        <f>T47+'P&amp;L-Q'!V41</f>
        <v>-1583602.0075380977</v>
      </c>
      <c r="V47" s="42">
        <f>U47+'P&amp;L-Q'!W41</f>
        <v>-1695180.5380075413</v>
      </c>
      <c r="W47" s="42">
        <f>V47+'P&amp;L-Q'!X41</f>
        <v>-1847881.0188238989</v>
      </c>
      <c r="X47" s="42">
        <f>W47+'P&amp;L-Q'!Y41</f>
        <v>-1889449.6843485963</v>
      </c>
      <c r="Y47" s="42">
        <f>X47+'P&amp;L-Q'!Z41</f>
        <v>-2230934.7120792</v>
      </c>
      <c r="Z47" s="42">
        <f>Y47+'P&amp;L-Q'!AA41</f>
        <v>-2631003.4833202832</v>
      </c>
      <c r="AA47" s="42">
        <f>Z47+'P&amp;L-Q'!AB41</f>
        <v>-3146148.1647206843</v>
      </c>
      <c r="AB47" s="42">
        <f>AA47+'P&amp;L-Q'!AC41</f>
        <v>-3026577.4574692263</v>
      </c>
      <c r="AC47" s="42">
        <f>AB47+'P&amp;L-Q'!AD41</f>
        <v>-2253603.3093028641</v>
      </c>
      <c r="AD47" s="42">
        <f>AC47+'P&amp;L-Q'!AE41</f>
        <v>-801767.25227600662</v>
      </c>
      <c r="AE47" s="42">
        <f>AD47+'P&amp;L-Q'!AF41</f>
        <v>1301145.3847372369</v>
      </c>
      <c r="AF47" s="42">
        <f>AE47+'P&amp;L-Q'!AG41</f>
        <v>4132685.2068707361</v>
      </c>
      <c r="AG47" s="42">
        <f>AF47+'P&amp;L-Q'!AH41</f>
        <v>7732961.3316976372</v>
      </c>
      <c r="AH47" s="42">
        <f>AG47+'P&amp;L-Q'!AI41</f>
        <v>12065866.983792927</v>
      </c>
      <c r="AI47" s="42">
        <f>AH47+'P&amp;L-Q'!AJ41</f>
        <v>17228646.658955108</v>
      </c>
      <c r="AJ47" s="42">
        <f>AI47+'P&amp;L-Q'!AK41</f>
        <v>23290090.600646634</v>
      </c>
      <c r="AK47" s="42">
        <f>AJ47+'P&amp;L-Q'!AL41</f>
        <v>30297618.45032011</v>
      </c>
    </row>
    <row r="48" spans="1:37" ht="10.5" customHeight="1" x14ac:dyDescent="0.65">
      <c r="A48" s="6" t="s">
        <v>45</v>
      </c>
      <c r="B48" s="7">
        <v>-68928.05</v>
      </c>
      <c r="C48" s="7">
        <v>-68928.05</v>
      </c>
      <c r="D48" s="7">
        <v>-68928.05</v>
      </c>
      <c r="E48" s="7">
        <v>-68928.05</v>
      </c>
      <c r="F48" s="7">
        <v>-391783.43</v>
      </c>
      <c r="G48" s="7">
        <v>-391783.43</v>
      </c>
      <c r="H48" s="7">
        <v>-391783.43</v>
      </c>
      <c r="I48" s="7">
        <v>-391783.43</v>
      </c>
      <c r="J48" s="7">
        <v>-907313.22</v>
      </c>
      <c r="K48" s="7">
        <v>-907313.22</v>
      </c>
      <c r="L48" s="7">
        <v>-907313.22</v>
      </c>
      <c r="M48" s="7">
        <v>-907313.22</v>
      </c>
      <c r="N48" s="7">
        <v>-1633878.3</v>
      </c>
      <c r="O48" s="7">
        <v>-1633878.3</v>
      </c>
      <c r="P48" s="7">
        <v>-1633878.3</v>
      </c>
      <c r="Q48" s="7">
        <v>-1633390.88</v>
      </c>
      <c r="R48" s="7">
        <f>Q48</f>
        <v>-1633390.88</v>
      </c>
      <c r="S48" s="7">
        <f t="shared" ref="S48:AK48" si="23">R48</f>
        <v>-1633390.88</v>
      </c>
      <c r="T48" s="7">
        <f t="shared" si="23"/>
        <v>-1633390.88</v>
      </c>
      <c r="U48" s="7">
        <f t="shared" si="23"/>
        <v>-1633390.88</v>
      </c>
      <c r="V48" s="7">
        <f t="shared" si="23"/>
        <v>-1633390.88</v>
      </c>
      <c r="W48" s="7">
        <f t="shared" si="23"/>
        <v>-1633390.88</v>
      </c>
      <c r="X48" s="7">
        <f t="shared" si="23"/>
        <v>-1633390.88</v>
      </c>
      <c r="Y48" s="7">
        <f t="shared" si="23"/>
        <v>-1633390.88</v>
      </c>
      <c r="Z48" s="7">
        <f t="shared" si="23"/>
        <v>-1633390.88</v>
      </c>
      <c r="AA48" s="7">
        <f t="shared" si="23"/>
        <v>-1633390.88</v>
      </c>
      <c r="AB48" s="7">
        <f t="shared" si="23"/>
        <v>-1633390.88</v>
      </c>
      <c r="AC48" s="7">
        <f t="shared" si="23"/>
        <v>-1633390.88</v>
      </c>
      <c r="AD48" s="7">
        <f t="shared" si="23"/>
        <v>-1633390.88</v>
      </c>
      <c r="AE48" s="7">
        <f t="shared" si="23"/>
        <v>-1633390.88</v>
      </c>
      <c r="AF48" s="7">
        <f t="shared" si="23"/>
        <v>-1633390.88</v>
      </c>
      <c r="AG48" s="7">
        <f t="shared" si="23"/>
        <v>-1633390.88</v>
      </c>
      <c r="AH48" s="7">
        <f t="shared" si="23"/>
        <v>-1633390.88</v>
      </c>
      <c r="AI48" s="7">
        <f t="shared" si="23"/>
        <v>-1633390.88</v>
      </c>
      <c r="AJ48" s="7">
        <f t="shared" si="23"/>
        <v>-1633390.88</v>
      </c>
      <c r="AK48" s="7">
        <f t="shared" si="23"/>
        <v>-1633390.88</v>
      </c>
    </row>
    <row r="49" spans="1:37" ht="10.5" customHeight="1" x14ac:dyDescent="0.65">
      <c r="A49" s="6" t="s">
        <v>44</v>
      </c>
      <c r="B49" s="7">
        <v>0</v>
      </c>
      <c r="C49" s="7">
        <v>493995.73</v>
      </c>
      <c r="D49" s="7">
        <v>493995.73</v>
      </c>
      <c r="E49" s="7">
        <v>493995.73</v>
      </c>
      <c r="F49" s="7">
        <v>493995.73</v>
      </c>
      <c r="G49" s="7">
        <v>943595.73</v>
      </c>
      <c r="H49" s="7">
        <v>1088595.73</v>
      </c>
      <c r="I49" s="7">
        <v>1088595.73</v>
      </c>
      <c r="J49" s="7">
        <v>1088595.73</v>
      </c>
      <c r="K49" s="7">
        <v>1365195.73</v>
      </c>
      <c r="L49" s="7">
        <v>1830912.21</v>
      </c>
      <c r="M49" s="7">
        <v>1830912.21</v>
      </c>
      <c r="N49" s="7">
        <v>1830912.21</v>
      </c>
      <c r="O49" s="7">
        <v>2066979.21</v>
      </c>
      <c r="P49" s="7">
        <v>2066979.21</v>
      </c>
      <c r="Q49" s="7">
        <v>2842373.14</v>
      </c>
      <c r="R49" s="7">
        <f>Q49+'CFS-Q'!S33</f>
        <v>2842373.14</v>
      </c>
      <c r="S49" s="7">
        <f>R49+'CFS-Q'!T33</f>
        <v>5842373.1400000006</v>
      </c>
      <c r="T49" s="7">
        <f>S49+'CFS-Q'!U33</f>
        <v>5842373.1400000006</v>
      </c>
      <c r="U49" s="7">
        <f>T49+'CFS-Q'!V33</f>
        <v>5842373.1400000006</v>
      </c>
      <c r="V49" s="7">
        <f>U49+'CFS-Q'!W33</f>
        <v>5842373.1400000006</v>
      </c>
      <c r="W49" s="7">
        <f>V49+'CFS-Q'!X33</f>
        <v>5842373.1400000006</v>
      </c>
      <c r="X49" s="7">
        <f>W49+'CFS-Q'!Y33</f>
        <v>5842373.1400000006</v>
      </c>
      <c r="Y49" s="7">
        <f>X49+'CFS-Q'!Z33</f>
        <v>5842373.1400000006</v>
      </c>
      <c r="Z49" s="7">
        <f>Y49+'CFS-Q'!AA33</f>
        <v>5842373.1400000006</v>
      </c>
      <c r="AA49" s="7">
        <f>Z49+'CFS-Q'!AB33</f>
        <v>5842373.1400000006</v>
      </c>
      <c r="AB49" s="7">
        <f>AA49+'CFS-Q'!AC33</f>
        <v>5842373.1400000006</v>
      </c>
      <c r="AC49" s="7">
        <f>AB49+'CFS-Q'!AD33</f>
        <v>5842373.1400000006</v>
      </c>
      <c r="AD49" s="7">
        <f>AC49+'CFS-Q'!AE33</f>
        <v>5842373.1400000006</v>
      </c>
      <c r="AE49" s="7">
        <f>AD49+'CFS-Q'!AF33</f>
        <v>5842373.1400000006</v>
      </c>
      <c r="AF49" s="7">
        <f>AE49+'CFS-Q'!AG33</f>
        <v>5842373.1400000006</v>
      </c>
      <c r="AG49" s="7">
        <f>AF49+'CFS-Q'!AH33</f>
        <v>5842373.1400000006</v>
      </c>
      <c r="AH49" s="7">
        <f>AG49+'CFS-Q'!AI33</f>
        <v>5842373.1400000006</v>
      </c>
      <c r="AI49" s="7">
        <f>AH49+'CFS-Q'!AJ33</f>
        <v>5842373.1400000006</v>
      </c>
      <c r="AJ49" s="7">
        <f>AI49+'CFS-Q'!AK33</f>
        <v>5842373.1400000006</v>
      </c>
      <c r="AK49" s="7">
        <f>AJ49+'CFS-Q'!AL33</f>
        <v>5842373.1400000006</v>
      </c>
    </row>
    <row r="50" spans="1:37" ht="10.5" customHeight="1" x14ac:dyDescent="0.65">
      <c r="A50" s="8" t="s">
        <v>43</v>
      </c>
      <c r="B50" s="9">
        <f t="shared" ref="B50:Q50" si="24">SUM(B47:B49)</f>
        <v>-68928.05</v>
      </c>
      <c r="C50" s="9">
        <f t="shared" si="24"/>
        <v>339011.05</v>
      </c>
      <c r="D50" s="9">
        <f t="shared" si="24"/>
        <v>216105.84999999998</v>
      </c>
      <c r="E50" s="9">
        <f t="shared" si="24"/>
        <v>102212.29999999999</v>
      </c>
      <c r="F50" s="9">
        <f t="shared" si="24"/>
        <v>-640.71000000002095</v>
      </c>
      <c r="G50" s="9">
        <f t="shared" si="24"/>
        <v>342148.97</v>
      </c>
      <c r="H50" s="9">
        <f t="shared" si="24"/>
        <v>349345.99</v>
      </c>
      <c r="I50" s="9">
        <f t="shared" si="24"/>
        <v>181282.51</v>
      </c>
      <c r="J50" s="9">
        <f t="shared" si="24"/>
        <v>119755.08999999997</v>
      </c>
      <c r="K50" s="9">
        <f t="shared" si="24"/>
        <v>229464.37000000011</v>
      </c>
      <c r="L50" s="9">
        <f t="shared" si="24"/>
        <v>458181.24</v>
      </c>
      <c r="M50" s="9">
        <f t="shared" si="24"/>
        <v>197033.91000000015</v>
      </c>
      <c r="N50" s="9">
        <f t="shared" si="24"/>
        <v>80528.979999999981</v>
      </c>
      <c r="O50" s="9">
        <f t="shared" si="24"/>
        <v>15686.520000000019</v>
      </c>
      <c r="P50" s="9">
        <f t="shared" si="24"/>
        <v>-201556.37999999989</v>
      </c>
      <c r="Q50" s="9">
        <f t="shared" si="24"/>
        <v>334045.90000000037</v>
      </c>
      <c r="R50" s="9">
        <f t="shared" ref="R50:AK50" si="25">SUM(R47:R49)</f>
        <v>96517.519040676299</v>
      </c>
      <c r="S50" s="9">
        <f t="shared" si="25"/>
        <v>2970279.9329423085</v>
      </c>
      <c r="T50" s="9">
        <f t="shared" si="25"/>
        <v>2799933.0974541511</v>
      </c>
      <c r="U50" s="9">
        <f t="shared" si="25"/>
        <v>2625380.2524619028</v>
      </c>
      <c r="V50" s="9">
        <f t="shared" si="25"/>
        <v>2513801.7219924591</v>
      </c>
      <c r="W50" s="9">
        <f t="shared" si="25"/>
        <v>2361101.2411761018</v>
      </c>
      <c r="X50" s="9">
        <f t="shared" si="25"/>
        <v>2319532.5756514044</v>
      </c>
      <c r="Y50" s="9">
        <f t="shared" si="25"/>
        <v>1978047.5479208007</v>
      </c>
      <c r="Z50" s="9">
        <f t="shared" si="25"/>
        <v>1577978.776679717</v>
      </c>
      <c r="AA50" s="9">
        <f t="shared" si="25"/>
        <v>1062834.0952793164</v>
      </c>
      <c r="AB50" s="9">
        <f t="shared" si="25"/>
        <v>1182404.8025307748</v>
      </c>
      <c r="AC50" s="9">
        <f t="shared" si="25"/>
        <v>1955378.9506971366</v>
      </c>
      <c r="AD50" s="9">
        <f t="shared" si="25"/>
        <v>3407215.0077239941</v>
      </c>
      <c r="AE50" s="9">
        <f t="shared" si="25"/>
        <v>5510127.6447372381</v>
      </c>
      <c r="AF50" s="9">
        <f t="shared" si="25"/>
        <v>8341667.4668707363</v>
      </c>
      <c r="AG50" s="9">
        <f t="shared" si="25"/>
        <v>11941943.591697637</v>
      </c>
      <c r="AH50" s="9">
        <f t="shared" si="25"/>
        <v>16274849.243792929</v>
      </c>
      <c r="AI50" s="9">
        <f t="shared" si="25"/>
        <v>21437628.91895511</v>
      </c>
      <c r="AJ50" s="9">
        <f t="shared" si="25"/>
        <v>27499072.860646635</v>
      </c>
      <c r="AK50" s="9">
        <f t="shared" si="25"/>
        <v>34506600.710320115</v>
      </c>
    </row>
    <row r="51" spans="1:37" x14ac:dyDescent="0.65"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</sheetData>
  <mergeCells count="4">
    <mergeCell ref="A21:Q21"/>
    <mergeCell ref="A39:Q39"/>
    <mergeCell ref="A7:Q7"/>
    <mergeCell ref="A11:Q11"/>
  </mergeCells>
  <pageMargins left="0.7" right="0.7" top="0.75" bottom="0.75" header="0.3" footer="0.3"/>
  <pageSetup paperSize="9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Highlights</vt:lpstr>
      <vt:lpstr>Annual---&gt;</vt:lpstr>
      <vt:lpstr>P&amp;L-A</vt:lpstr>
      <vt:lpstr>BS-A</vt:lpstr>
      <vt:lpstr>CFS-A</vt:lpstr>
      <vt:lpstr>Quarterly---&gt;</vt:lpstr>
      <vt:lpstr>P&amp;L-Q</vt:lpstr>
      <vt:lpstr>BS-Q</vt:lpstr>
      <vt:lpstr>CFS-Q</vt:lpstr>
      <vt:lpstr>Operating sheets---&gt;</vt:lpstr>
      <vt:lpstr>Operational</vt:lpstr>
      <vt:lpstr>Marketing</vt:lpstr>
      <vt:lpstr>Staff costs</vt:lpstr>
      <vt:lpstr>Extra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Scarborough</dc:creator>
  <cp:lastModifiedBy>Tom Scarborough</cp:lastModifiedBy>
  <cp:lastPrinted>2023-02-01T17:59:11Z</cp:lastPrinted>
  <dcterms:created xsi:type="dcterms:W3CDTF">2023-01-30T18:49:47Z</dcterms:created>
  <dcterms:modified xsi:type="dcterms:W3CDTF">2023-11-07T09:15:16Z</dcterms:modified>
</cp:coreProperties>
</file>